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hnofr\Documents\local_share\f2_pxp\publication\versions\post-submission\biorxiv_v1.2\supplement\"/>
    </mc:Choice>
  </mc:AlternateContent>
  <bookViews>
    <workbookView xWindow="0" yWindow="0" windowWidth="23040" windowHeight="9108"/>
  </bookViews>
  <sheets>
    <sheet name="calculator" sheetId="1" r:id="rId1"/>
    <sheet name="hybrids" sheetId="6" r:id="rId2"/>
    <sheet name="males" sheetId="7" r:id="rId3"/>
    <sheet name="females" sheetId="1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 l="1"/>
  <c r="J16" i="1"/>
  <c r="J17" i="1"/>
  <c r="K17" i="1"/>
  <c r="K16" i="1"/>
  <c r="W8" i="12"/>
  <c r="U6" i="12"/>
  <c r="G8" i="12"/>
  <c r="F8" i="12"/>
  <c r="E8" i="12"/>
  <c r="D8" i="12"/>
  <c r="G7" i="12"/>
  <c r="F7" i="12"/>
  <c r="E7" i="12"/>
  <c r="D7" i="12"/>
  <c r="G6" i="12"/>
  <c r="F6" i="12"/>
  <c r="E6" i="12"/>
  <c r="D6" i="12"/>
  <c r="G5" i="12"/>
  <c r="F5" i="12"/>
  <c r="E5" i="12"/>
  <c r="D5" i="12"/>
  <c r="M5" i="12" l="1"/>
  <c r="O7" i="12"/>
  <c r="W6" i="12"/>
  <c r="M6" i="12"/>
  <c r="O6" i="12"/>
  <c r="V7" i="12"/>
  <c r="T5" i="12"/>
  <c r="M8" i="12"/>
  <c r="U8" i="12"/>
  <c r="O8" i="12"/>
  <c r="N7" i="12"/>
  <c r="L5" i="12"/>
  <c r="T7" i="12"/>
  <c r="M7" i="7"/>
  <c r="W8" i="7"/>
  <c r="U8" i="7"/>
  <c r="O8" i="7"/>
  <c r="M8" i="7"/>
  <c r="G8" i="7"/>
  <c r="F8" i="7"/>
  <c r="E8" i="7"/>
  <c r="D8" i="7"/>
  <c r="V7" i="7"/>
  <c r="N7" i="7"/>
  <c r="G7" i="7"/>
  <c r="F7" i="7"/>
  <c r="E7" i="7"/>
  <c r="D7" i="7"/>
  <c r="W6" i="7"/>
  <c r="U6" i="7"/>
  <c r="O6" i="7"/>
  <c r="M6" i="7"/>
  <c r="G6" i="7"/>
  <c r="F6" i="7"/>
  <c r="E6" i="7"/>
  <c r="D6" i="7"/>
  <c r="T5" i="7"/>
  <c r="L5" i="7"/>
  <c r="G5" i="7"/>
  <c r="F5" i="7"/>
  <c r="E5" i="7"/>
  <c r="D5" i="7"/>
  <c r="U5" i="12" l="1"/>
  <c r="M5" i="7"/>
  <c r="V8" i="12"/>
  <c r="T6" i="12"/>
  <c r="U5" i="7"/>
  <c r="T6" i="7"/>
  <c r="O7" i="7"/>
  <c r="N8" i="7"/>
  <c r="W7" i="7"/>
  <c r="V8" i="7"/>
  <c r="W7" i="12"/>
  <c r="L6" i="12"/>
  <c r="N8" i="12"/>
  <c r="L6" i="7"/>
  <c r="O5" i="7"/>
  <c r="T7" i="7"/>
  <c r="L8" i="7"/>
  <c r="T8" i="12"/>
  <c r="U7" i="7"/>
  <c r="V5" i="7"/>
  <c r="N5" i="12"/>
  <c r="L7" i="12"/>
  <c r="V5" i="12"/>
  <c r="W5" i="12"/>
  <c r="L7" i="7"/>
  <c r="T8" i="7"/>
  <c r="O5" i="12"/>
  <c r="N6" i="12"/>
  <c r="M7" i="12"/>
  <c r="L8" i="12"/>
  <c r="N6" i="7"/>
  <c r="U7" i="12"/>
  <c r="W5" i="7"/>
  <c r="N5" i="7"/>
  <c r="V6" i="7"/>
  <c r="V6" i="12"/>
  <c r="W7" i="6"/>
  <c r="W6" i="6"/>
  <c r="W5" i="6"/>
  <c r="V8" i="6"/>
  <c r="V6" i="6"/>
  <c r="V5" i="6"/>
  <c r="U8" i="6"/>
  <c r="T7" i="6"/>
  <c r="U7" i="6"/>
  <c r="T8" i="6"/>
  <c r="T6" i="6"/>
  <c r="U5" i="6"/>
  <c r="W8" i="6"/>
  <c r="V7" i="6"/>
  <c r="U6" i="6"/>
  <c r="T5" i="6"/>
  <c r="L5" i="6"/>
  <c r="O8" i="6"/>
  <c r="O7" i="6"/>
  <c r="O6" i="6"/>
  <c r="O5" i="6"/>
  <c r="N8" i="6"/>
  <c r="N7" i="6"/>
  <c r="N6" i="6"/>
  <c r="N5" i="6"/>
  <c r="M6" i="6"/>
  <c r="M8" i="6"/>
  <c r="M7" i="6"/>
  <c r="L8" i="6"/>
  <c r="L7" i="6"/>
  <c r="L6" i="6"/>
  <c r="M5" i="6"/>
  <c r="E7" i="6" l="1"/>
  <c r="G8" i="6"/>
  <c r="F5" i="6"/>
  <c r="F6" i="6"/>
  <c r="F7" i="6"/>
  <c r="G5" i="6"/>
  <c r="E5" i="6"/>
  <c r="U14" i="6" s="1"/>
  <c r="G6" i="6"/>
  <c r="E8" i="6"/>
  <c r="M17" i="6" s="1"/>
  <c r="D8" i="6"/>
  <c r="D7" i="6"/>
  <c r="D6" i="6"/>
  <c r="D5" i="6"/>
  <c r="T14" i="6" s="1"/>
  <c r="E6" i="6"/>
  <c r="U15" i="6" s="1"/>
  <c r="G7" i="6"/>
  <c r="W16" i="6" s="1"/>
  <c r="F8" i="6"/>
  <c r="M15" i="6" l="1"/>
  <c r="D14" i="6"/>
  <c r="L23" i="6"/>
  <c r="D23" i="6"/>
  <c r="D15" i="6"/>
  <c r="D24" i="6"/>
  <c r="L24" i="6"/>
  <c r="D16" i="6"/>
  <c r="L25" i="6"/>
  <c r="D25" i="6"/>
  <c r="G17" i="6"/>
  <c r="O26" i="6"/>
  <c r="G26" i="6"/>
  <c r="E17" i="6"/>
  <c r="M26" i="6"/>
  <c r="E26" i="6"/>
  <c r="E16" i="6"/>
  <c r="E25" i="6"/>
  <c r="M25" i="6"/>
  <c r="U17" i="6"/>
  <c r="D17" i="6"/>
  <c r="D26" i="6"/>
  <c r="L26" i="6"/>
  <c r="F17" i="6"/>
  <c r="N26" i="6"/>
  <c r="F26" i="6"/>
  <c r="G15" i="6"/>
  <c r="O24" i="6"/>
  <c r="G24" i="6"/>
  <c r="M16" i="6"/>
  <c r="G16" i="6"/>
  <c r="O25" i="6"/>
  <c r="G25" i="6"/>
  <c r="E14" i="6"/>
  <c r="M23" i="6"/>
  <c r="E23" i="6"/>
  <c r="L16" i="6"/>
  <c r="L17" i="6"/>
  <c r="F16" i="6"/>
  <c r="N25" i="6"/>
  <c r="F25" i="6"/>
  <c r="F15" i="6"/>
  <c r="F24" i="6"/>
  <c r="N24" i="6"/>
  <c r="F14" i="6"/>
  <c r="N23" i="6"/>
  <c r="F23" i="6"/>
  <c r="E15" i="6"/>
  <c r="E24" i="6"/>
  <c r="M24" i="6"/>
  <c r="G14" i="6"/>
  <c r="O23" i="6"/>
  <c r="G23" i="6"/>
  <c r="U16" i="6"/>
  <c r="O14" i="6"/>
  <c r="M14" i="6"/>
  <c r="V17" i="6"/>
  <c r="O15" i="6"/>
  <c r="V15" i="6"/>
  <c r="T15" i="6"/>
  <c r="L14" i="6"/>
  <c r="N14" i="6"/>
  <c r="V14" i="6"/>
  <c r="V16" i="6"/>
  <c r="N15" i="6"/>
  <c r="N17" i="6"/>
  <c r="L15" i="6"/>
  <c r="W15" i="6"/>
  <c r="W14" i="6"/>
  <c r="W17" i="6"/>
  <c r="O17" i="6"/>
  <c r="T17" i="6"/>
  <c r="T16" i="6"/>
  <c r="O16" i="6"/>
  <c r="N16" i="6"/>
  <c r="U23" i="6" l="1"/>
  <c r="D14" i="12" s="1"/>
  <c r="T23" i="6"/>
  <c r="D13" i="7" l="1"/>
  <c r="G13" i="12"/>
  <c r="D13" i="12"/>
  <c r="E13" i="12"/>
  <c r="F13" i="12"/>
  <c r="G13" i="7"/>
  <c r="F13" i="7"/>
  <c r="E13" i="7"/>
  <c r="F14" i="12"/>
  <c r="G14" i="12"/>
  <c r="E14" i="12"/>
  <c r="V23" i="6"/>
  <c r="O8" i="1" s="1"/>
  <c r="W23" i="6"/>
  <c r="P8" i="1" s="1"/>
  <c r="P7" i="1"/>
  <c r="E14" i="7"/>
  <c r="D14" i="7"/>
  <c r="G14" i="7"/>
  <c r="F14" i="7"/>
  <c r="T26" i="6"/>
  <c r="O7" i="1"/>
  <c r="N13" i="12" l="1"/>
  <c r="K13" i="12"/>
  <c r="M13" i="12"/>
  <c r="O16" i="12"/>
  <c r="L16" i="12"/>
  <c r="K15" i="12"/>
  <c r="M15" i="12"/>
  <c r="N15" i="12"/>
  <c r="K14" i="12"/>
  <c r="N14" i="12"/>
  <c r="M14" i="12"/>
  <c r="O15" i="12"/>
  <c r="L15" i="12"/>
  <c r="O14" i="12"/>
  <c r="L14" i="12"/>
  <c r="O13" i="12"/>
  <c r="L13" i="12"/>
  <c r="N16" i="12"/>
  <c r="K16" i="12"/>
  <c r="M16" i="12"/>
  <c r="V26" i="6"/>
  <c r="O11" i="1" s="1"/>
  <c r="N16" i="7"/>
  <c r="M16" i="7"/>
  <c r="K16" i="7"/>
  <c r="M15" i="7"/>
  <c r="N15" i="7"/>
  <c r="K15" i="7"/>
  <c r="O15" i="7"/>
  <c r="L15" i="7"/>
  <c r="O16" i="7"/>
  <c r="L16" i="7"/>
  <c r="L14" i="7"/>
  <c r="O14" i="7"/>
  <c r="M14" i="7"/>
  <c r="K14" i="7"/>
  <c r="N14" i="7"/>
  <c r="M13" i="7"/>
  <c r="N13" i="7"/>
  <c r="K13" i="7"/>
  <c r="O13" i="7"/>
  <c r="L13" i="7"/>
  <c r="W14" i="12" l="1"/>
  <c r="Q17" i="1" s="1"/>
  <c r="T14" i="12"/>
  <c r="T18" i="12"/>
  <c r="V14" i="12"/>
  <c r="P17" i="1" s="1"/>
  <c r="U14" i="12"/>
  <c r="U14" i="7"/>
  <c r="W14" i="7"/>
  <c r="Q16" i="1" s="1"/>
  <c r="V14" i="7"/>
  <c r="P16" i="1" s="1"/>
  <c r="T18" i="7"/>
  <c r="O9" i="1" l="1"/>
  <c r="O10" i="1" s="1"/>
  <c r="P9" i="1"/>
  <c r="V18" i="12"/>
  <c r="P21" i="1" s="1"/>
  <c r="V18" i="7"/>
  <c r="P20" i="1" s="1"/>
  <c r="T14" i="7"/>
  <c r="P10" i="1" l="1"/>
</calcChain>
</file>

<file path=xl/sharedStrings.xml><?xml version="1.0" encoding="utf-8"?>
<sst xmlns="http://schemas.openxmlformats.org/spreadsheetml/2006/main" count="260" uniqueCount="55">
  <si>
    <t>a</t>
  </si>
  <si>
    <t>Locus</t>
  </si>
  <si>
    <t>Mean</t>
  </si>
  <si>
    <t>covariance</t>
  </si>
  <si>
    <t>F1</t>
  </si>
  <si>
    <t>correlation</t>
  </si>
  <si>
    <t>mean</t>
  </si>
  <si>
    <t>aa</t>
  </si>
  <si>
    <t>males</t>
  </si>
  <si>
    <t>females</t>
  </si>
  <si>
    <t>E(F1)</t>
  </si>
  <si>
    <t>E(F1*F2)</t>
  </si>
  <si>
    <t>E(F1^2)</t>
  </si>
  <si>
    <t>GCA</t>
  </si>
  <si>
    <t>Variance</t>
  </si>
  <si>
    <t>cov</t>
  </si>
  <si>
    <t>cor</t>
  </si>
  <si>
    <t>Statistics</t>
  </si>
  <si>
    <t>variance</t>
  </si>
  <si>
    <t>F1 vs. F2</t>
  </si>
  <si>
    <r>
      <rPr>
        <sz val="10"/>
        <color theme="1"/>
        <rFont val="Calibri"/>
        <family val="2"/>
        <scheme val="minor"/>
      </rPr>
      <t>two-locus</t>
    </r>
    <r>
      <rPr>
        <b/>
        <sz val="10"/>
        <color theme="1"/>
        <rFont val="Calibri"/>
        <family val="2"/>
        <scheme val="minor"/>
      </rPr>
      <t xml:space="preserve"> genotype probabilities</t>
    </r>
  </si>
  <si>
    <r>
      <rPr>
        <sz val="10"/>
        <color theme="1"/>
        <rFont val="Calibri"/>
        <family val="2"/>
        <scheme val="minor"/>
      </rPr>
      <t>two-locus</t>
    </r>
    <r>
      <rPr>
        <b/>
        <sz val="10"/>
        <color theme="1"/>
        <rFont val="Calibri"/>
        <family val="2"/>
        <scheme val="minor"/>
      </rPr>
      <t xml:space="preserve"> genotype values F1</t>
    </r>
  </si>
  <si>
    <r>
      <t>Expectations</t>
    </r>
    <r>
      <rPr>
        <sz val="10"/>
        <color theme="1"/>
        <rFont val="Calibri"/>
        <family val="2"/>
        <scheme val="minor"/>
      </rPr>
      <t xml:space="preserve"> for</t>
    </r>
    <r>
      <rPr>
        <b/>
        <sz val="10"/>
        <color theme="1"/>
        <rFont val="Calibri"/>
        <family val="2"/>
        <scheme val="minor"/>
      </rPr>
      <t xml:space="preserve"> GCA</t>
    </r>
  </si>
  <si>
    <t>gca/total</t>
  </si>
  <si>
    <r>
      <t xml:space="preserve">GCA </t>
    </r>
    <r>
      <rPr>
        <sz val="10"/>
        <color theme="1"/>
        <rFont val="Calibri"/>
        <family val="2"/>
        <scheme val="minor"/>
      </rPr>
      <t>of two-locus genotypes</t>
    </r>
  </si>
  <si>
    <t>d</t>
  </si>
  <si>
    <t>Results</t>
  </si>
  <si>
    <t>Scenario</t>
  </si>
  <si>
    <r>
      <rPr>
        <sz val="10"/>
        <color theme="1"/>
        <rFont val="Calibri"/>
        <family val="2"/>
        <scheme val="minor"/>
      </rPr>
      <t>gene</t>
    </r>
    <r>
      <rPr>
        <b/>
        <sz val="10"/>
        <color theme="1"/>
        <rFont val="Calibri"/>
        <family val="2"/>
        <scheme val="minor"/>
      </rPr>
      <t xml:space="preserve"> frequencies</t>
    </r>
  </si>
  <si>
    <t>da</t>
  </si>
  <si>
    <t>dd</t>
  </si>
  <si>
    <t>ad</t>
  </si>
  <si>
    <r>
      <rPr>
        <b/>
        <sz val="10"/>
        <color theme="1"/>
        <rFont val="Calibri"/>
        <family val="2"/>
        <scheme val="minor"/>
      </rPr>
      <t>gene action</t>
    </r>
    <r>
      <rPr>
        <sz val="10"/>
        <color theme="1"/>
        <rFont val="Calibri"/>
        <family val="2"/>
        <scheme val="minor"/>
      </rPr>
      <t xml:space="preserve"> effects</t>
    </r>
  </si>
  <si>
    <r>
      <t>B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1</t>
    </r>
  </si>
  <si>
    <r>
      <t>B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2</t>
    </r>
  </si>
  <si>
    <r>
      <t>B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</si>
  <si>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1</t>
    </r>
  </si>
  <si>
    <r>
      <t>C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</si>
  <si>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</si>
  <si>
    <r>
      <t>B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/B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</si>
  <si>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/C</t>
    </r>
    <r>
      <rPr>
        <vertAlign val="subscript"/>
        <sz val="10"/>
        <color theme="1"/>
        <rFont val="Calibri"/>
        <family val="2"/>
        <scheme val="minor"/>
      </rPr>
      <t>2</t>
    </r>
  </si>
  <si>
    <r>
      <t>B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1</t>
    </r>
  </si>
  <si>
    <r>
      <t>B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</si>
  <si>
    <r>
      <t>B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1</t>
    </r>
  </si>
  <si>
    <r>
      <t>B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</si>
  <si>
    <t>sca/total</t>
  </si>
  <si>
    <r>
      <rPr>
        <sz val="10"/>
        <color theme="1"/>
        <rFont val="Calibri"/>
        <family val="2"/>
        <scheme val="minor"/>
      </rPr>
      <t>two-locus</t>
    </r>
    <r>
      <rPr>
        <b/>
        <sz val="10"/>
        <color theme="1"/>
        <rFont val="Calibri"/>
        <family val="2"/>
        <scheme val="minor"/>
      </rPr>
      <t xml:space="preserve"> genotype matrix </t>
    </r>
    <r>
      <rPr>
        <b/>
        <i/>
        <sz val="10"/>
        <color theme="1"/>
        <rFont val="Calibri"/>
        <family val="2"/>
        <scheme val="minor"/>
      </rPr>
      <t>U</t>
    </r>
  </si>
  <si>
    <t>F1:2</t>
  </si>
  <si>
    <r>
      <rPr>
        <b/>
        <sz val="10"/>
        <color theme="1"/>
        <rFont val="Calibri"/>
        <family val="2"/>
        <scheme val="minor"/>
      </rPr>
      <t>gca</t>
    </r>
    <r>
      <rPr>
        <sz val="10"/>
        <color theme="1"/>
        <rFont val="Calibri"/>
        <family val="2"/>
        <scheme val="minor"/>
      </rPr>
      <t xml:space="preserve"> estimated from F1 and F1:2</t>
    </r>
  </si>
  <si>
    <r>
      <rPr>
        <sz val="10"/>
        <color theme="1"/>
        <rFont val="Calibri"/>
        <family val="2"/>
        <scheme val="minor"/>
      </rPr>
      <t>F1 and F1:2</t>
    </r>
    <r>
      <rPr>
        <b/>
        <sz val="10"/>
        <color theme="1"/>
        <rFont val="Calibri"/>
        <family val="2"/>
        <scheme val="minor"/>
      </rPr>
      <t xml:space="preserve"> hybrid performance</t>
    </r>
  </si>
  <si>
    <r>
      <rPr>
        <sz val="10"/>
        <color theme="1"/>
        <rFont val="Calibri"/>
        <family val="2"/>
        <scheme val="minor"/>
      </rPr>
      <t>two-locus</t>
    </r>
    <r>
      <rPr>
        <b/>
        <sz val="10"/>
        <color theme="1"/>
        <rFont val="Calibri"/>
        <family val="2"/>
        <scheme val="minor"/>
      </rPr>
      <t xml:space="preserve"> genotype values F1:2</t>
    </r>
  </si>
  <si>
    <t>E(F1:2)</t>
  </si>
  <si>
    <t>E(F1:2^2)</t>
  </si>
  <si>
    <t>E(F1*F1:2)</t>
  </si>
  <si>
    <t>two-locus genotype values F1:2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</si>
</sst>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165" fontId="2" fillId="0" borderId="0" xfId="0" applyNumberFormat="1" applyFont="1" applyFill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0" fontId="3" fillId="0" borderId="0" xfId="0" applyFont="1" applyAlignment="1"/>
    <xf numFmtId="0" fontId="3" fillId="2" borderId="0" xfId="0" applyFont="1" applyFill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165" fontId="2" fillId="0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Alignment="1"/>
    <xf numFmtId="165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/>
    <xf numFmtId="0" fontId="2" fillId="4" borderId="0" xfId="0" applyFont="1" applyFill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0" fontId="2" fillId="2" borderId="0" xfId="0" applyFont="1" applyFill="1" applyAlignment="1"/>
    <xf numFmtId="2" fontId="2" fillId="2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0" fontId="2" fillId="2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/>
    </xf>
    <xf numFmtId="165" fontId="4" fillId="4" borderId="11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164" fontId="2" fillId="0" borderId="12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textRotation="90"/>
    </xf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9E4"/>
      <color rgb="FF42D24C"/>
      <color rgb="FFFBA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12</xdr:row>
      <xdr:rowOff>0</xdr:rowOff>
    </xdr:from>
    <xdr:to>
      <xdr:col>6</xdr:col>
      <xdr:colOff>132522</xdr:colOff>
      <xdr:row>22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264C16-E8C3-48B8-82E9-D73FB2B43025}"/>
            </a:ext>
          </a:extLst>
        </xdr:cNvPr>
        <xdr:cNvSpPr txBox="1"/>
      </xdr:nvSpPr>
      <xdr:spPr>
        <a:xfrm>
          <a:off x="205740" y="2226365"/>
          <a:ext cx="2782625" cy="189141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/>
            <a:t>Calculator</a:t>
          </a:r>
          <a:r>
            <a:rPr lang="en-US" sz="1100" baseline="0"/>
            <a:t> for expected quantiative genetic parameters for interpopulation F1 hybrids and F1:2 bulks.</a:t>
          </a:r>
        </a:p>
        <a:p>
          <a:pPr algn="l"/>
          <a:endParaRPr lang="en-US" sz="1100" baseline="0"/>
        </a:p>
        <a:p>
          <a:pPr algn="l"/>
          <a:r>
            <a:rPr lang="en-US" sz="1100" i="1" baseline="0"/>
            <a:t>created by Frank Technow (Dec, 2018) as File S1 for manuscript "Use of F2 bulks in training sets for genomic prediction</a:t>
          </a:r>
        </a:p>
        <a:p>
          <a:pPr algn="l"/>
          <a:r>
            <a:rPr lang="en-US" sz="1100" i="1" baseline="0"/>
            <a:t>of combining ability and hybrid performance" </a:t>
          </a:r>
          <a:endParaRPr lang="en-US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zoomScale="115" zoomScaleNormal="115" workbookViewId="0">
      <selection activeCell="T9" sqref="T9"/>
    </sheetView>
  </sheetViews>
  <sheetFormatPr defaultRowHeight="13.8" x14ac:dyDescent="0.3"/>
  <cols>
    <col min="1" max="1" width="8.88671875" style="1"/>
    <col min="2" max="2" width="5.77734375" style="1" customWidth="1"/>
    <col min="3" max="3" width="7.44140625" style="1" customWidth="1"/>
    <col min="4" max="4" width="8.109375" style="1" bestFit="1" customWidth="1"/>
    <col min="5" max="5" width="8" style="1" customWidth="1"/>
    <col min="6" max="6" width="3.33203125" style="1" customWidth="1"/>
    <col min="7" max="7" width="3.5546875" style="1" customWidth="1"/>
    <col min="8" max="8" width="5.44140625" style="1" customWidth="1"/>
    <col min="9" max="9" width="7" style="1" customWidth="1"/>
    <col min="10" max="11" width="6.109375" style="1" customWidth="1"/>
    <col min="12" max="12" width="8.88671875" style="1"/>
    <col min="13" max="13" width="5.21875" style="1" customWidth="1"/>
    <col min="14" max="14" width="11.88671875" style="1" customWidth="1"/>
    <col min="15" max="15" width="10.109375" style="1" bestFit="1" customWidth="1"/>
    <col min="16" max="16" width="8.88671875" style="1"/>
    <col min="17" max="17" width="8.88671875" style="1" customWidth="1"/>
    <col min="18" max="18" width="2.5546875" style="1" customWidth="1"/>
    <col min="19" max="19" width="3.5546875" style="1" customWidth="1"/>
    <col min="20" max="16384" width="8.88671875" style="1"/>
  </cols>
  <sheetData>
    <row r="1" spans="2:19" x14ac:dyDescent="0.3">
      <c r="N1" s="18"/>
      <c r="O1" s="18"/>
      <c r="P1" s="18"/>
      <c r="Q1" s="18"/>
      <c r="R1" s="18"/>
      <c r="S1" s="18"/>
    </row>
    <row r="2" spans="2:19" x14ac:dyDescent="0.3">
      <c r="N2" s="18"/>
      <c r="O2" s="18"/>
      <c r="P2" s="18"/>
      <c r="Q2" s="18"/>
      <c r="R2" s="18"/>
      <c r="S2" s="18"/>
    </row>
    <row r="3" spans="2:19" x14ac:dyDescent="0.3">
      <c r="B3" s="61" t="s">
        <v>27</v>
      </c>
      <c r="C3" s="61"/>
      <c r="D3" s="61"/>
      <c r="E3" s="61"/>
      <c r="F3" s="61"/>
      <c r="G3" s="61"/>
      <c r="H3" s="61"/>
      <c r="I3" s="61"/>
      <c r="J3" s="61"/>
      <c r="K3" s="61"/>
      <c r="L3" s="61"/>
      <c r="N3" s="57" t="s">
        <v>26</v>
      </c>
      <c r="O3" s="57"/>
      <c r="P3" s="57"/>
      <c r="Q3" s="57"/>
      <c r="R3" s="57"/>
      <c r="S3" s="18"/>
    </row>
    <row r="4" spans="2:19" x14ac:dyDescent="0.3">
      <c r="N4" s="18"/>
      <c r="O4" s="18"/>
      <c r="P4" s="18"/>
      <c r="Q4" s="18"/>
      <c r="R4" s="18"/>
      <c r="S4" s="18"/>
    </row>
    <row r="5" spans="2:19" ht="15" customHeight="1" thickBot="1" x14ac:dyDescent="0.35">
      <c r="B5" s="62" t="s">
        <v>28</v>
      </c>
      <c r="C5" s="62"/>
      <c r="D5" s="62"/>
      <c r="E5" s="62"/>
      <c r="H5" s="62" t="s">
        <v>46</v>
      </c>
      <c r="I5" s="62"/>
      <c r="J5" s="62"/>
      <c r="K5" s="62"/>
      <c r="L5" s="62"/>
      <c r="N5" s="62" t="s">
        <v>49</v>
      </c>
      <c r="O5" s="62"/>
      <c r="P5" s="62"/>
      <c r="Q5" s="62"/>
      <c r="R5" s="62"/>
    </row>
    <row r="6" spans="2:19" ht="15" x14ac:dyDescent="0.35">
      <c r="B6" s="44" t="s">
        <v>1</v>
      </c>
      <c r="C6" s="13" t="s">
        <v>8</v>
      </c>
      <c r="D6" s="13" t="s">
        <v>9</v>
      </c>
      <c r="E6" s="44"/>
      <c r="H6" s="5"/>
      <c r="I6" s="43" t="s">
        <v>36</v>
      </c>
      <c r="J6" s="43" t="s">
        <v>37</v>
      </c>
      <c r="K6" s="43" t="s">
        <v>38</v>
      </c>
      <c r="L6" s="5"/>
      <c r="M6" s="27"/>
      <c r="N6" s="5"/>
      <c r="O6" s="28" t="s">
        <v>4</v>
      </c>
      <c r="P6" s="28" t="s">
        <v>47</v>
      </c>
      <c r="Q6" s="26"/>
      <c r="R6" s="5"/>
    </row>
    <row r="7" spans="2:19" ht="15" customHeight="1" x14ac:dyDescent="0.35">
      <c r="B7" s="43" t="s">
        <v>39</v>
      </c>
      <c r="C7" s="40">
        <v>0.85</v>
      </c>
      <c r="D7" s="40">
        <v>0.15</v>
      </c>
      <c r="E7" s="41"/>
      <c r="H7" s="43" t="s">
        <v>33</v>
      </c>
      <c r="I7" s="39">
        <v>1</v>
      </c>
      <c r="J7" s="39">
        <v>1</v>
      </c>
      <c r="K7" s="39">
        <v>0</v>
      </c>
      <c r="L7" s="5"/>
      <c r="M7" s="27"/>
      <c r="N7" s="30" t="s">
        <v>6</v>
      </c>
      <c r="O7" s="31">
        <f>hybrids!T23</f>
        <v>0.45369999999999994</v>
      </c>
      <c r="P7" s="31">
        <f>hybrids!U23</f>
        <v>0.27106874999999997</v>
      </c>
      <c r="Q7" s="26"/>
      <c r="R7" s="5"/>
    </row>
    <row r="8" spans="2:19" ht="15" customHeight="1" x14ac:dyDescent="0.35">
      <c r="B8" s="43" t="s">
        <v>40</v>
      </c>
      <c r="C8" s="40">
        <v>0.04</v>
      </c>
      <c r="D8" s="40">
        <v>0.5</v>
      </c>
      <c r="E8" s="41"/>
      <c r="H8" s="43" t="s">
        <v>35</v>
      </c>
      <c r="I8" s="39">
        <v>1</v>
      </c>
      <c r="J8" s="39">
        <v>1</v>
      </c>
      <c r="K8" s="39">
        <v>0</v>
      </c>
      <c r="L8" s="5"/>
      <c r="M8" s="27"/>
      <c r="N8" s="30" t="s">
        <v>18</v>
      </c>
      <c r="O8" s="31">
        <f>hybrids!V23</f>
        <v>0.24785631</v>
      </c>
      <c r="P8" s="31">
        <f>hybrids!W23</f>
        <v>9.1173685898437495E-2</v>
      </c>
      <c r="Q8" s="26"/>
      <c r="R8" s="5"/>
    </row>
    <row r="9" spans="2:19" ht="15" customHeight="1" x14ac:dyDescent="0.35">
      <c r="B9" s="43"/>
      <c r="C9" s="41"/>
      <c r="D9" s="41"/>
      <c r="E9" s="41"/>
      <c r="H9" s="43" t="s">
        <v>34</v>
      </c>
      <c r="I9" s="39">
        <v>0</v>
      </c>
      <c r="J9" s="39">
        <v>0</v>
      </c>
      <c r="K9" s="39">
        <v>0</v>
      </c>
      <c r="L9" s="5"/>
      <c r="M9" s="27"/>
      <c r="N9" s="30" t="s">
        <v>23</v>
      </c>
      <c r="O9" s="31">
        <f>((P16 + P17))/(O8)</f>
        <v>0.84698840227226813</v>
      </c>
      <c r="P9" s="31">
        <f>((Q16 + Q17))/(P8)</f>
        <v>0.885987808265294</v>
      </c>
      <c r="Q9" s="26"/>
      <c r="R9" s="5"/>
    </row>
    <row r="10" spans="2:19" ht="15" customHeight="1" x14ac:dyDescent="0.3">
      <c r="B10" s="43"/>
      <c r="C10" s="41"/>
      <c r="D10" s="41"/>
      <c r="E10" s="41"/>
      <c r="H10" s="43"/>
      <c r="I10" s="47"/>
      <c r="J10" s="47"/>
      <c r="K10" s="47"/>
      <c r="L10" s="5"/>
      <c r="M10" s="27"/>
      <c r="N10" s="30" t="s">
        <v>45</v>
      </c>
      <c r="O10" s="31">
        <f>1-O9</f>
        <v>0.15301159772773187</v>
      </c>
      <c r="P10" s="31">
        <f>1-P9</f>
        <v>0.114012191734706</v>
      </c>
      <c r="Q10" s="26"/>
      <c r="R10" s="5"/>
    </row>
    <row r="11" spans="2:19" ht="15" customHeight="1" x14ac:dyDescent="0.3">
      <c r="H11" s="5"/>
      <c r="I11" s="5"/>
      <c r="J11" s="5"/>
      <c r="K11" s="5"/>
      <c r="L11" s="5"/>
      <c r="M11" s="27"/>
      <c r="N11" s="30" t="s">
        <v>5</v>
      </c>
      <c r="O11" s="65">
        <f>hybrids!V26</f>
        <v>0.98508999332842295</v>
      </c>
      <c r="P11" s="66"/>
      <c r="Q11" s="26"/>
      <c r="R11" s="5"/>
    </row>
    <row r="12" spans="2:19" ht="15" customHeight="1" x14ac:dyDescent="0.3">
      <c r="M12" s="27"/>
      <c r="N12" s="5"/>
      <c r="O12" s="37"/>
      <c r="P12" s="37"/>
      <c r="Q12" s="26"/>
      <c r="R12" s="5"/>
    </row>
    <row r="13" spans="2:19" ht="14.4" customHeight="1" x14ac:dyDescent="0.3">
      <c r="Q13" s="18"/>
      <c r="R13" s="4"/>
      <c r="S13" s="4"/>
    </row>
    <row r="14" spans="2:19" ht="14.4" customHeight="1" thickBot="1" x14ac:dyDescent="0.35">
      <c r="B14" s="19"/>
      <c r="C14" s="19"/>
      <c r="D14" s="19"/>
      <c r="E14" s="19"/>
      <c r="F14" s="19"/>
      <c r="G14" s="19"/>
      <c r="H14" s="63" t="s">
        <v>32</v>
      </c>
      <c r="I14" s="63"/>
      <c r="J14" s="63"/>
      <c r="K14" s="63"/>
      <c r="L14" s="63"/>
      <c r="N14" s="63" t="s">
        <v>48</v>
      </c>
      <c r="O14" s="63"/>
      <c r="P14" s="63"/>
      <c r="Q14" s="63"/>
      <c r="R14" s="63"/>
      <c r="S14" s="18"/>
    </row>
    <row r="15" spans="2:19" ht="15" customHeight="1" x14ac:dyDescent="0.35">
      <c r="B15" s="19"/>
      <c r="C15" s="19"/>
      <c r="D15" s="19"/>
      <c r="E15" s="19"/>
      <c r="F15" s="19"/>
      <c r="G15" s="19"/>
      <c r="H15" s="5"/>
      <c r="I15" s="38"/>
      <c r="J15" s="43" t="s">
        <v>39</v>
      </c>
      <c r="K15" s="43" t="s">
        <v>40</v>
      </c>
      <c r="L15" s="5"/>
      <c r="N15" s="5"/>
      <c r="O15" s="5"/>
      <c r="P15" s="29" t="s">
        <v>4</v>
      </c>
      <c r="Q15" s="29" t="s">
        <v>47</v>
      </c>
      <c r="R15" s="5"/>
      <c r="S15" s="50"/>
    </row>
    <row r="16" spans="2:19" ht="14.4" customHeight="1" x14ac:dyDescent="0.3">
      <c r="B16" s="19"/>
      <c r="C16" s="19"/>
      <c r="D16" s="19"/>
      <c r="E16" s="19"/>
      <c r="F16" s="19"/>
      <c r="G16" s="19"/>
      <c r="H16" s="5"/>
      <c r="I16" s="13" t="s">
        <v>0</v>
      </c>
      <c r="J16" s="46">
        <f>(I7-I9+K7-K9)/4</f>
        <v>0.25</v>
      </c>
      <c r="K16" s="46">
        <f>(I7-K7+I9-K9)/4</f>
        <v>0.25</v>
      </c>
      <c r="L16" s="5"/>
      <c r="N16" s="64" t="s">
        <v>18</v>
      </c>
      <c r="O16" s="32" t="s">
        <v>8</v>
      </c>
      <c r="P16" s="33">
        <f>males!V14</f>
        <v>3.3101309999999995E-2</v>
      </c>
      <c r="Q16" s="33">
        <f>males!W14</f>
        <v>1.4142533554687501E-2</v>
      </c>
      <c r="R16" s="5"/>
      <c r="S16" s="50"/>
    </row>
    <row r="17" spans="1:19" ht="14.4" customHeight="1" x14ac:dyDescent="0.3">
      <c r="B17" s="19"/>
      <c r="C17" s="19"/>
      <c r="D17" s="19"/>
      <c r="E17" s="19"/>
      <c r="F17" s="19"/>
      <c r="G17" s="19"/>
      <c r="H17" s="5"/>
      <c r="I17" s="13" t="s">
        <v>25</v>
      </c>
      <c r="J17" s="46">
        <f>(I8 - 0.5*(I7+I9) + K8 - 0.5*(K7+K9))/2</f>
        <v>0.25</v>
      </c>
      <c r="K17" s="46">
        <f>(J7 - 0.5*(I7+K7) + J9 - 0.5*(I9+K9))/2</f>
        <v>0.25</v>
      </c>
      <c r="L17" s="5"/>
      <c r="N17" s="64"/>
      <c r="O17" s="32" t="s">
        <v>9</v>
      </c>
      <c r="P17" s="33">
        <f>females!V14</f>
        <v>0.17683010999999998</v>
      </c>
      <c r="Q17" s="33">
        <f>females!W14</f>
        <v>6.6636240585937478E-2</v>
      </c>
      <c r="R17" s="5"/>
      <c r="S17" s="50"/>
    </row>
    <row r="18" spans="1:19" ht="15" customHeight="1" x14ac:dyDescent="0.3">
      <c r="B18" s="19"/>
      <c r="C18" s="19"/>
      <c r="D18" s="19"/>
      <c r="E18" s="19"/>
      <c r="F18" s="19"/>
      <c r="G18" s="19"/>
      <c r="H18" s="5"/>
      <c r="I18" s="13" t="s">
        <v>7</v>
      </c>
      <c r="J18" s="58">
        <f>(I7 - I9 - K7 + K9)/4</f>
        <v>0.25</v>
      </c>
      <c r="K18" s="59"/>
      <c r="L18" s="5"/>
      <c r="N18" s="34"/>
      <c r="O18" s="35"/>
      <c r="P18" s="36"/>
      <c r="Q18" s="36"/>
      <c r="R18" s="5"/>
      <c r="S18" s="50"/>
    </row>
    <row r="19" spans="1:19" ht="14.4" customHeight="1" x14ac:dyDescent="0.3">
      <c r="B19" s="19"/>
      <c r="C19" s="19"/>
      <c r="D19" s="19"/>
      <c r="E19" s="19"/>
      <c r="F19" s="19"/>
      <c r="G19" s="19"/>
      <c r="H19" s="5"/>
      <c r="I19" s="13" t="s">
        <v>31</v>
      </c>
      <c r="J19" s="58">
        <f>(J7-J9-0.5*(I7-I9 + K7-K9))/2</f>
        <v>0.25</v>
      </c>
      <c r="K19" s="59"/>
      <c r="L19" s="5"/>
      <c r="N19" s="34"/>
      <c r="O19" s="43"/>
      <c r="P19" s="36"/>
      <c r="Q19" s="36"/>
      <c r="R19" s="5"/>
      <c r="S19" s="50"/>
    </row>
    <row r="20" spans="1:19" ht="14.4" customHeight="1" x14ac:dyDescent="0.3">
      <c r="B20" s="19"/>
      <c r="C20" s="19"/>
      <c r="D20" s="19"/>
      <c r="E20" s="19"/>
      <c r="F20" s="19"/>
      <c r="G20" s="19"/>
      <c r="H20" s="5"/>
      <c r="I20" s="13" t="s">
        <v>29</v>
      </c>
      <c r="J20" s="58">
        <f>(I8-K8-0.5*(I7-K7+I9-K9))/2</f>
        <v>0.25</v>
      </c>
      <c r="K20" s="59"/>
      <c r="L20" s="5"/>
      <c r="N20" s="64" t="s">
        <v>5</v>
      </c>
      <c r="O20" s="32" t="s">
        <v>8</v>
      </c>
      <c r="P20" s="60">
        <f>males!V18</f>
        <v>0.99258160507948512</v>
      </c>
      <c r="Q20" s="60"/>
      <c r="R20" s="5"/>
      <c r="S20" s="50"/>
    </row>
    <row r="21" spans="1:19" ht="14.4" customHeight="1" x14ac:dyDescent="0.3">
      <c r="B21" s="19"/>
      <c r="C21" s="19"/>
      <c r="D21" s="19"/>
      <c r="E21" s="19"/>
      <c r="F21" s="19"/>
      <c r="G21" s="19"/>
      <c r="H21" s="5"/>
      <c r="I21" s="13" t="s">
        <v>30</v>
      </c>
      <c r="J21" s="58">
        <f>J8 - 0.5*(J7+J9)-0.5*(I8-0.5*(I7+I9) + K8 - 0.5*(K7+K9))</f>
        <v>0.25</v>
      </c>
      <c r="K21" s="59"/>
      <c r="L21" s="5"/>
      <c r="N21" s="64"/>
      <c r="O21" s="32" t="s">
        <v>9</v>
      </c>
      <c r="P21" s="60">
        <f>females!V18</f>
        <v>0.98817451729874339</v>
      </c>
      <c r="Q21" s="60"/>
      <c r="R21" s="5"/>
      <c r="S21" s="50"/>
    </row>
    <row r="22" spans="1:19" ht="14.4" customHeight="1" x14ac:dyDescent="0.3">
      <c r="B22" s="19"/>
      <c r="C22" s="19"/>
      <c r="D22" s="19"/>
      <c r="E22" s="19"/>
      <c r="F22" s="19"/>
      <c r="G22" s="19"/>
      <c r="H22" s="38"/>
      <c r="I22" s="38"/>
      <c r="J22" s="38"/>
      <c r="K22" s="38"/>
      <c r="L22" s="5"/>
      <c r="N22" s="5"/>
      <c r="O22" s="5"/>
      <c r="P22" s="5"/>
      <c r="Q22" s="5"/>
      <c r="R22" s="5"/>
      <c r="S22" s="50"/>
    </row>
    <row r="23" spans="1:19" x14ac:dyDescent="0.3">
      <c r="S23" s="18"/>
    </row>
    <row r="24" spans="1:19" x14ac:dyDescent="0.3">
      <c r="S24" s="18"/>
    </row>
    <row r="25" spans="1:19" x14ac:dyDescent="0.3">
      <c r="A25" s="19"/>
      <c r="S25" s="18"/>
    </row>
    <row r="26" spans="1:19" x14ac:dyDescent="0.3">
      <c r="A26" s="19"/>
      <c r="B26" s="19"/>
      <c r="C26" s="19"/>
      <c r="D26" s="19"/>
      <c r="E26" s="19"/>
      <c r="S26" s="18"/>
    </row>
    <row r="27" spans="1:19" ht="15" customHeight="1" x14ac:dyDescent="0.3">
      <c r="A27" s="19"/>
      <c r="B27" s="19"/>
      <c r="C27" s="19"/>
      <c r="D27" s="19"/>
      <c r="E27" s="19"/>
      <c r="S27" s="18"/>
    </row>
    <row r="28" spans="1:19" x14ac:dyDescent="0.3">
      <c r="A28" s="19"/>
      <c r="B28" s="19"/>
      <c r="C28" s="19"/>
      <c r="D28" s="19"/>
      <c r="E28" s="19"/>
    </row>
    <row r="29" spans="1:19" x14ac:dyDescent="0.3">
      <c r="A29" s="19"/>
      <c r="B29" s="19"/>
      <c r="C29" s="19"/>
      <c r="D29" s="19"/>
      <c r="E29" s="19"/>
    </row>
    <row r="30" spans="1:19" x14ac:dyDescent="0.3">
      <c r="A30" s="19"/>
      <c r="B30" s="19"/>
      <c r="C30" s="19"/>
      <c r="D30" s="19"/>
      <c r="E30" s="19"/>
    </row>
    <row r="31" spans="1:19" x14ac:dyDescent="0.3">
      <c r="A31" s="19"/>
    </row>
    <row r="32" spans="1:19" x14ac:dyDescent="0.3">
      <c r="A32" s="19"/>
    </row>
    <row r="33" spans="1:22" x14ac:dyDescent="0.3">
      <c r="A33" s="19"/>
    </row>
    <row r="34" spans="1:22" x14ac:dyDescent="0.3">
      <c r="H34" s="4"/>
      <c r="I34" s="4"/>
      <c r="J34" s="4"/>
      <c r="K34" s="4"/>
      <c r="L34" s="4"/>
    </row>
    <row r="35" spans="1:22" x14ac:dyDescent="0.3">
      <c r="H35" s="4"/>
      <c r="I35" s="4"/>
      <c r="J35" s="4"/>
      <c r="K35" s="4"/>
      <c r="L35" s="4"/>
    </row>
    <row r="36" spans="1:22" ht="14.4" customHeight="1" x14ac:dyDescent="0.3">
      <c r="H36" s="4"/>
      <c r="I36" s="4"/>
      <c r="J36" s="4"/>
      <c r="K36" s="4"/>
      <c r="L36" s="4"/>
    </row>
    <row r="45" spans="1:22" x14ac:dyDescent="0.3">
      <c r="T45" s="19"/>
      <c r="U45" s="19"/>
      <c r="V45" s="19"/>
    </row>
    <row r="46" spans="1:22" x14ac:dyDescent="0.3">
      <c r="T46" s="19"/>
      <c r="U46" s="19"/>
      <c r="V46" s="19"/>
    </row>
    <row r="47" spans="1:22" x14ac:dyDescent="0.3">
      <c r="T47" s="19"/>
      <c r="U47" s="19"/>
      <c r="V47" s="4"/>
    </row>
    <row r="48" spans="1:22" x14ac:dyDescent="0.3">
      <c r="T48" s="19"/>
      <c r="U48" s="19"/>
      <c r="V48" s="4"/>
    </row>
    <row r="49" spans="1:22" x14ac:dyDescent="0.3">
      <c r="V49" s="4"/>
    </row>
    <row r="51" spans="1:22" ht="14.4" customHeight="1" x14ac:dyDescent="0.3"/>
    <row r="52" spans="1:22" ht="15" customHeight="1" x14ac:dyDescent="0.3"/>
    <row r="53" spans="1:22" ht="18.600000000000001" customHeight="1" x14ac:dyDescent="0.3"/>
    <row r="54" spans="1:22" x14ac:dyDescent="0.3">
      <c r="G54" s="4"/>
      <c r="H54" s="4"/>
      <c r="I54" s="4"/>
      <c r="J54" s="4"/>
      <c r="K54" s="4"/>
      <c r="L54" s="4"/>
    </row>
    <row r="55" spans="1:22" x14ac:dyDescent="0.3">
      <c r="G55" s="4"/>
      <c r="H55" s="4"/>
      <c r="I55" s="4"/>
      <c r="J55" s="4"/>
      <c r="K55" s="4"/>
      <c r="L55" s="4"/>
    </row>
    <row r="56" spans="1:22" x14ac:dyDescent="0.3">
      <c r="E56" s="4"/>
      <c r="F56" s="4"/>
      <c r="G56" s="4"/>
      <c r="H56" s="4"/>
      <c r="I56" s="4"/>
      <c r="J56" s="4"/>
      <c r="K56" s="4"/>
      <c r="L56" s="4"/>
    </row>
    <row r="59" spans="1:22" x14ac:dyDescent="0.3">
      <c r="A59" s="4"/>
      <c r="B59" s="4"/>
      <c r="C59" s="4"/>
      <c r="D59" s="4"/>
    </row>
    <row r="60" spans="1:22" x14ac:dyDescent="0.3">
      <c r="A60" s="4"/>
      <c r="B60" s="4"/>
      <c r="C60" s="4"/>
      <c r="D60" s="4"/>
    </row>
    <row r="61" spans="1:22" x14ac:dyDescent="0.3">
      <c r="A61" s="42"/>
      <c r="B61" s="42"/>
      <c r="C61" s="42"/>
      <c r="D61" s="4"/>
    </row>
    <row r="62" spans="1:22" x14ac:dyDescent="0.3">
      <c r="A62" s="42"/>
      <c r="B62" s="42"/>
      <c r="C62" s="42"/>
      <c r="D62" s="4"/>
    </row>
    <row r="63" spans="1:22" x14ac:dyDescent="0.3">
      <c r="A63" s="42"/>
      <c r="B63" s="42"/>
      <c r="C63" s="42"/>
      <c r="D63" s="4"/>
    </row>
    <row r="64" spans="1:22" x14ac:dyDescent="0.3">
      <c r="A64" s="42"/>
      <c r="B64" s="42"/>
      <c r="C64" s="42"/>
      <c r="D64" s="4"/>
    </row>
    <row r="65" spans="1:4" x14ac:dyDescent="0.3">
      <c r="A65" s="42"/>
      <c r="B65" s="42"/>
      <c r="C65" s="42"/>
      <c r="D65" s="4"/>
    </row>
    <row r="66" spans="1:4" x14ac:dyDescent="0.3">
      <c r="A66" s="4"/>
      <c r="B66" s="4"/>
      <c r="C66" s="4"/>
      <c r="D66" s="4"/>
    </row>
  </sheetData>
  <mergeCells count="16">
    <mergeCell ref="N3:R3"/>
    <mergeCell ref="J19:K19"/>
    <mergeCell ref="J20:K20"/>
    <mergeCell ref="P20:Q20"/>
    <mergeCell ref="J21:K21"/>
    <mergeCell ref="B3:L3"/>
    <mergeCell ref="B5:E5"/>
    <mergeCell ref="H5:L5"/>
    <mergeCell ref="H14:L14"/>
    <mergeCell ref="J18:K18"/>
    <mergeCell ref="P21:Q21"/>
    <mergeCell ref="N16:N17"/>
    <mergeCell ref="N20:N21"/>
    <mergeCell ref="O11:P11"/>
    <mergeCell ref="N5:R5"/>
    <mergeCell ref="N14:R14"/>
  </mergeCells>
  <conditionalFormatting sqref="V47:X4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:K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D8">
    <cfRule type="colorScale" priority="3">
      <colorScale>
        <cfvo type="num" val="0"/>
        <cfvo type="percentile" val="50"/>
        <cfvo type="num" val="1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5"/>
  <sheetViews>
    <sheetView showGridLines="0" workbookViewId="0">
      <selection activeCell="AA26" sqref="AA26"/>
    </sheetView>
  </sheetViews>
  <sheetFormatPr defaultRowHeight="13.8" x14ac:dyDescent="0.3"/>
  <cols>
    <col min="1" max="1" width="3.77734375" style="1" customWidth="1"/>
    <col min="2" max="2" width="3.77734375" style="1" bestFit="1" customWidth="1"/>
    <col min="3" max="3" width="4.33203125" style="1" bestFit="1" customWidth="1"/>
    <col min="4" max="4" width="5.44140625" style="1" bestFit="1" customWidth="1"/>
    <col min="5" max="7" width="6" style="1" bestFit="1" customWidth="1"/>
    <col min="8" max="8" width="3.44140625" style="1" customWidth="1"/>
    <col min="9" max="9" width="3.21875" style="1" customWidth="1"/>
    <col min="10" max="10" width="3.77734375" style="1" bestFit="1" customWidth="1"/>
    <col min="11" max="11" width="4.33203125" style="1" bestFit="1" customWidth="1"/>
    <col min="12" max="12" width="5.44140625" style="1" bestFit="1" customWidth="1"/>
    <col min="13" max="15" width="6" style="1" bestFit="1" customWidth="1"/>
    <col min="16" max="16" width="6.5546875" style="1" bestFit="1" customWidth="1"/>
    <col min="17" max="17" width="3.21875" style="1" customWidth="1"/>
    <col min="18" max="18" width="3.77734375" style="1" bestFit="1" customWidth="1"/>
    <col min="19" max="19" width="4.33203125" style="1" bestFit="1" customWidth="1"/>
    <col min="20" max="20" width="5.44140625" style="1" bestFit="1" customWidth="1"/>
    <col min="21" max="23" width="6" style="1" bestFit="1" customWidth="1"/>
    <col min="24" max="24" width="2.44140625" style="1" customWidth="1"/>
    <col min="25" max="27" width="6.5546875" style="1" bestFit="1" customWidth="1"/>
    <col min="28" max="29" width="9.5546875" style="1" bestFit="1" customWidth="1"/>
    <col min="30" max="33" width="8.88671875" style="1"/>
    <col min="34" max="35" width="12" style="1" bestFit="1" customWidth="1"/>
    <col min="36" max="16384" width="8.88671875" style="1"/>
  </cols>
  <sheetData>
    <row r="2" spans="2:24" ht="14.4" thickBot="1" x14ac:dyDescent="0.35">
      <c r="B2" s="62" t="s">
        <v>20</v>
      </c>
      <c r="C2" s="62"/>
      <c r="D2" s="62"/>
      <c r="E2" s="62"/>
      <c r="F2" s="62"/>
      <c r="G2" s="62"/>
      <c r="H2" s="62"/>
      <c r="I2" s="17"/>
      <c r="J2" s="62" t="s">
        <v>21</v>
      </c>
      <c r="K2" s="62"/>
      <c r="L2" s="62"/>
      <c r="M2" s="62"/>
      <c r="N2" s="62"/>
      <c r="O2" s="62"/>
      <c r="P2" s="62"/>
      <c r="Q2" s="8"/>
      <c r="R2" s="62" t="s">
        <v>50</v>
      </c>
      <c r="S2" s="62"/>
      <c r="T2" s="62"/>
      <c r="U2" s="62"/>
      <c r="V2" s="62"/>
      <c r="W2" s="62"/>
      <c r="X2" s="62"/>
    </row>
    <row r="3" spans="2:24" ht="14.4" thickBot="1" x14ac:dyDescent="0.35">
      <c r="B3" s="6"/>
      <c r="C3" s="6"/>
      <c r="D3" s="70" t="s">
        <v>9</v>
      </c>
      <c r="E3" s="70"/>
      <c r="F3" s="70"/>
      <c r="G3" s="70"/>
      <c r="H3" s="5"/>
      <c r="J3" s="6"/>
      <c r="K3" s="6"/>
      <c r="L3" s="70" t="s">
        <v>9</v>
      </c>
      <c r="M3" s="70"/>
      <c r="N3" s="70"/>
      <c r="O3" s="70"/>
      <c r="P3" s="5"/>
      <c r="Q3" s="21"/>
      <c r="R3" s="6"/>
      <c r="S3" s="6"/>
      <c r="T3" s="70" t="s">
        <v>9</v>
      </c>
      <c r="U3" s="70"/>
      <c r="V3" s="70"/>
      <c r="W3" s="70"/>
      <c r="X3" s="5"/>
    </row>
    <row r="4" spans="2:24" ht="15.6" thickBot="1" x14ac:dyDescent="0.35">
      <c r="B4" s="6"/>
      <c r="C4" s="6"/>
      <c r="D4" s="45" t="s">
        <v>41</v>
      </c>
      <c r="E4" s="45" t="s">
        <v>42</v>
      </c>
      <c r="F4" s="45" t="s">
        <v>43</v>
      </c>
      <c r="G4" s="45" t="s">
        <v>44</v>
      </c>
      <c r="H4" s="5"/>
      <c r="J4" s="6"/>
      <c r="K4" s="6"/>
      <c r="L4" s="45" t="s">
        <v>41</v>
      </c>
      <c r="M4" s="45" t="s">
        <v>42</v>
      </c>
      <c r="N4" s="45" t="s">
        <v>43</v>
      </c>
      <c r="O4" s="45" t="s">
        <v>44</v>
      </c>
      <c r="P4" s="5"/>
      <c r="Q4" s="21"/>
      <c r="R4" s="6"/>
      <c r="S4" s="6"/>
      <c r="T4" s="45" t="s">
        <v>41</v>
      </c>
      <c r="U4" s="45" t="s">
        <v>42</v>
      </c>
      <c r="V4" s="45" t="s">
        <v>43</v>
      </c>
      <c r="W4" s="45" t="s">
        <v>44</v>
      </c>
      <c r="X4" s="5"/>
    </row>
    <row r="5" spans="2:24" ht="14.4" customHeight="1" thickBot="1" x14ac:dyDescent="0.35">
      <c r="B5" s="69" t="s">
        <v>8</v>
      </c>
      <c r="C5" s="45" t="s">
        <v>41</v>
      </c>
      <c r="D5" s="10">
        <f>(calculator!$C$7)*(calculator!$C$8) * (calculator!$D$7)*(calculator!$D$8)</f>
        <v>2.5500000000000002E-3</v>
      </c>
      <c r="E5" s="10">
        <f>(calculator!$C$7)*(calculator!$C$8) * (calculator!$D$7)*(1-calculator!$D$8)</f>
        <v>2.5500000000000002E-3</v>
      </c>
      <c r="F5" s="10">
        <f>(calculator!$C$7)*(calculator!$C$8) * (1-calculator!$D$7)*(calculator!$D$8)</f>
        <v>1.4450000000000001E-2</v>
      </c>
      <c r="G5" s="10">
        <f>(calculator!$C$7)*(calculator!$C$8) * (1-calculator!$D$7)*(1-calculator!$D$8)</f>
        <v>1.4450000000000001E-2</v>
      </c>
      <c r="H5" s="5"/>
      <c r="J5" s="69" t="s">
        <v>8</v>
      </c>
      <c r="K5" s="45" t="s">
        <v>41</v>
      </c>
      <c r="L5" s="10">
        <f>calculator!$I$7</f>
        <v>1</v>
      </c>
      <c r="M5" s="10">
        <f>calculator!$J$7</f>
        <v>1</v>
      </c>
      <c r="N5" s="10">
        <f>calculator!$I$8</f>
        <v>1</v>
      </c>
      <c r="O5" s="10">
        <f>calculator!$J$8</f>
        <v>1</v>
      </c>
      <c r="P5" s="5"/>
      <c r="Q5" s="22"/>
      <c r="R5" s="69" t="s">
        <v>8</v>
      </c>
      <c r="S5" s="45" t="s">
        <v>41</v>
      </c>
      <c r="T5" s="10">
        <f>calculator!$I$7</f>
        <v>1</v>
      </c>
      <c r="U5" s="10">
        <f>0.25*calculator!$I$7 + 0.5 * calculator!$J$7 + 0.25 * calculator!$K$7</f>
        <v>0.75</v>
      </c>
      <c r="V5" s="10">
        <f>0.25*calculator!$I$7 + 0.5 * calculator!$I$8 + 0.25 * calculator!$I$9</f>
        <v>0.75</v>
      </c>
      <c r="W5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X5" s="5"/>
    </row>
    <row r="6" spans="2:24" ht="15.6" thickBot="1" x14ac:dyDescent="0.35">
      <c r="B6" s="69"/>
      <c r="C6" s="45" t="s">
        <v>42</v>
      </c>
      <c r="D6" s="10">
        <f>(calculator!$C$7)*(1-calculator!$C$8) * (calculator!$D$7)*(calculator!$D$8)</f>
        <v>6.1199999999999991E-2</v>
      </c>
      <c r="E6" s="10">
        <f>(calculator!$C$7)*(1-calculator!$C$8) * (calculator!$D$7)*(1-calculator!$D$8)</f>
        <v>6.1199999999999991E-2</v>
      </c>
      <c r="F6" s="10">
        <f>(calculator!$C$7)*(1-calculator!$C$8) * (1-calculator!$D$7)*(calculator!$D$8)</f>
        <v>0.34679999999999994</v>
      </c>
      <c r="G6" s="10">
        <f>(calculator!$C$7)*(1-calculator!$C$8) * (1-calculator!$D$7)*(1-calculator!$D$8)</f>
        <v>0.34679999999999994</v>
      </c>
      <c r="H6" s="5"/>
      <c r="J6" s="69"/>
      <c r="K6" s="45" t="s">
        <v>42</v>
      </c>
      <c r="L6" s="10">
        <f>calculator!$J$7</f>
        <v>1</v>
      </c>
      <c r="M6" s="10">
        <f>calculator!$K$7</f>
        <v>0</v>
      </c>
      <c r="N6" s="10">
        <f>calculator!$J$8</f>
        <v>1</v>
      </c>
      <c r="O6" s="10">
        <f>calculator!$K$8</f>
        <v>0</v>
      </c>
      <c r="P6" s="5"/>
      <c r="Q6" s="22"/>
      <c r="R6" s="69"/>
      <c r="S6" s="45" t="s">
        <v>42</v>
      </c>
      <c r="T6" s="10">
        <f>0.25*calculator!$I$7 + 0.5 * calculator!$J$7 + 0.25 * calculator!$K$7</f>
        <v>0.75</v>
      </c>
      <c r="U6" s="10">
        <f>calculator!$K$7</f>
        <v>0</v>
      </c>
      <c r="V6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W6" s="10">
        <f>0.25*calculator!$K$7 + 0.5 *calculator!$K$8 + 0.25 * calculator!$K$9</f>
        <v>0</v>
      </c>
      <c r="X6" s="5"/>
    </row>
    <row r="7" spans="2:24" ht="15.6" thickBot="1" x14ac:dyDescent="0.35">
      <c r="B7" s="69"/>
      <c r="C7" s="45" t="s">
        <v>43</v>
      </c>
      <c r="D7" s="10">
        <f>(1-calculator!$C$7)*(calculator!$C$8)*(calculator!$D$7)*(calculator!$D$8)</f>
        <v>4.5000000000000004E-4</v>
      </c>
      <c r="E7" s="10">
        <f>(1-calculator!$C$7)*(calculator!$C$8)*(calculator!$D$7)*(1-calculator!$D$8)</f>
        <v>4.5000000000000004E-4</v>
      </c>
      <c r="F7" s="10">
        <f>(1-calculator!$C$7)*(calculator!$C$8) * (1-calculator!$D$7)*(calculator!$D$8)</f>
        <v>2.5500000000000002E-3</v>
      </c>
      <c r="G7" s="10">
        <f>(1-calculator!$C$7)*(calculator!$C$8) * (1-calculator!$D$7)*(1-calculator!$D$8)</f>
        <v>2.5500000000000002E-3</v>
      </c>
      <c r="H7" s="5"/>
      <c r="J7" s="69"/>
      <c r="K7" s="45" t="s">
        <v>43</v>
      </c>
      <c r="L7" s="10">
        <f>calculator!$I$8</f>
        <v>1</v>
      </c>
      <c r="M7" s="10">
        <f>calculator!$J$8</f>
        <v>1</v>
      </c>
      <c r="N7" s="10">
        <f>calculator!$I$9</f>
        <v>0</v>
      </c>
      <c r="O7" s="10">
        <f>calculator!$J$9</f>
        <v>0</v>
      </c>
      <c r="P7" s="5"/>
      <c r="Q7" s="22"/>
      <c r="R7" s="69"/>
      <c r="S7" s="45" t="s">
        <v>43</v>
      </c>
      <c r="T7" s="10">
        <f>0.25*calculator!$I$7 + 0.5 * calculator!$I$8 + 0.25 * calculator!$I$9</f>
        <v>0.75</v>
      </c>
      <c r="U7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V7" s="10">
        <f>calculator!$I$9</f>
        <v>0</v>
      </c>
      <c r="W7" s="10">
        <f>0.25*calculator!$I$9 + 0.5 * calculator!$J$9 + 0.25 * calculator!$K$9</f>
        <v>0</v>
      </c>
      <c r="X7" s="5"/>
    </row>
    <row r="8" spans="2:24" ht="15.6" thickBot="1" x14ac:dyDescent="0.35">
      <c r="B8" s="69"/>
      <c r="C8" s="45" t="s">
        <v>44</v>
      </c>
      <c r="D8" s="10">
        <f>(1-calculator!$C$7)*(1-calculator!$C$8)*(calculator!$D$7)*(calculator!$D$8)</f>
        <v>1.0800000000000001E-2</v>
      </c>
      <c r="E8" s="10">
        <f>(1-calculator!$C$7)*(1-calculator!$C$8)*(calculator!$D$7)*(1-calculator!$D$8)</f>
        <v>1.0800000000000001E-2</v>
      </c>
      <c r="F8" s="10">
        <f>(1-calculator!$C$7)*(1-calculator!$C$8) * (1-calculator!$D$7)*(calculator!$D$8)</f>
        <v>6.1200000000000004E-2</v>
      </c>
      <c r="G8" s="10">
        <f>(1-calculator!$C$7)*(1-calculator!$C$8) * (1-calculator!$D$7)*(1-calculator!$D$8)</f>
        <v>6.1200000000000004E-2</v>
      </c>
      <c r="H8" s="5"/>
      <c r="J8" s="69"/>
      <c r="K8" s="45" t="s">
        <v>44</v>
      </c>
      <c r="L8" s="10">
        <f>calculator!$J$8</f>
        <v>1</v>
      </c>
      <c r="M8" s="10">
        <f>calculator!K8</f>
        <v>0</v>
      </c>
      <c r="N8" s="10">
        <f>calculator!$J$9</f>
        <v>0</v>
      </c>
      <c r="O8" s="10">
        <f>calculator!$K$9</f>
        <v>0</v>
      </c>
      <c r="P8" s="5"/>
      <c r="Q8" s="22"/>
      <c r="R8" s="69"/>
      <c r="S8" s="45" t="s">
        <v>44</v>
      </c>
      <c r="T8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U8" s="10">
        <f>0.25*calculator!$K$7 + 0.5 *calculator!$K$8 + 0.25 * calculator!$K$9</f>
        <v>0</v>
      </c>
      <c r="V8" s="10">
        <f>0.25*calculator!$I$9 + 0.5 * calculator!$J$9 + 0.25 * calculator!$K$9</f>
        <v>0</v>
      </c>
      <c r="W8" s="10">
        <f>calculator!$K$9</f>
        <v>0</v>
      </c>
      <c r="X8" s="5"/>
    </row>
    <row r="9" spans="2:24" x14ac:dyDescent="0.3">
      <c r="B9" s="5"/>
      <c r="C9" s="5"/>
      <c r="D9" s="5"/>
      <c r="E9" s="5"/>
      <c r="F9" s="5"/>
      <c r="G9" s="5"/>
      <c r="H9" s="11"/>
      <c r="I9" s="20"/>
      <c r="J9" s="5"/>
      <c r="K9" s="5"/>
      <c r="L9" s="5"/>
      <c r="M9" s="5"/>
      <c r="N9" s="5"/>
      <c r="O9" s="5"/>
      <c r="P9" s="5"/>
      <c r="R9" s="5"/>
      <c r="S9" s="5"/>
      <c r="T9" s="5"/>
      <c r="U9" s="5"/>
      <c r="V9" s="5"/>
      <c r="W9" s="5"/>
      <c r="X9" s="5"/>
    </row>
    <row r="10" spans="2:24" x14ac:dyDescent="0.3">
      <c r="H10" s="20"/>
      <c r="I10" s="20"/>
    </row>
    <row r="11" spans="2:24" ht="14.4" thickBot="1" x14ac:dyDescent="0.35">
      <c r="B11" s="62" t="s">
        <v>10</v>
      </c>
      <c r="C11" s="62"/>
      <c r="D11" s="62"/>
      <c r="E11" s="62"/>
      <c r="F11" s="62"/>
      <c r="G11" s="62"/>
      <c r="H11" s="62"/>
      <c r="I11" s="20"/>
      <c r="J11" s="62" t="s">
        <v>51</v>
      </c>
      <c r="K11" s="62"/>
      <c r="L11" s="62"/>
      <c r="M11" s="62"/>
      <c r="N11" s="62"/>
      <c r="O11" s="62"/>
      <c r="P11" s="62"/>
      <c r="R11" s="62" t="s">
        <v>53</v>
      </c>
      <c r="S11" s="62"/>
      <c r="T11" s="62"/>
      <c r="U11" s="62"/>
      <c r="V11" s="62"/>
      <c r="W11" s="62"/>
      <c r="X11" s="62"/>
    </row>
    <row r="12" spans="2:24" ht="14.4" thickBot="1" x14ac:dyDescent="0.35">
      <c r="B12" s="6"/>
      <c r="C12" s="6"/>
      <c r="D12" s="68" t="s">
        <v>9</v>
      </c>
      <c r="E12" s="68"/>
      <c r="F12" s="68"/>
      <c r="G12" s="68"/>
      <c r="H12" s="11"/>
      <c r="I12" s="20"/>
      <c r="J12" s="6"/>
      <c r="K12" s="6"/>
      <c r="L12" s="68" t="s">
        <v>9</v>
      </c>
      <c r="M12" s="68"/>
      <c r="N12" s="68"/>
      <c r="O12" s="68"/>
      <c r="P12" s="5"/>
      <c r="R12" s="6"/>
      <c r="S12" s="6"/>
      <c r="T12" s="68" t="s">
        <v>9</v>
      </c>
      <c r="U12" s="68"/>
      <c r="V12" s="68"/>
      <c r="W12" s="68"/>
      <c r="X12" s="5"/>
    </row>
    <row r="13" spans="2:24" ht="15.6" thickBot="1" x14ac:dyDescent="0.35">
      <c r="B13" s="6"/>
      <c r="C13" s="6"/>
      <c r="D13" s="45" t="s">
        <v>41</v>
      </c>
      <c r="E13" s="45" t="s">
        <v>42</v>
      </c>
      <c r="F13" s="45" t="s">
        <v>43</v>
      </c>
      <c r="G13" s="45" t="s">
        <v>44</v>
      </c>
      <c r="H13" s="11"/>
      <c r="I13" s="20"/>
      <c r="J13" s="6"/>
      <c r="K13" s="6"/>
      <c r="L13" s="45" t="s">
        <v>41</v>
      </c>
      <c r="M13" s="45" t="s">
        <v>42</v>
      </c>
      <c r="N13" s="45" t="s">
        <v>43</v>
      </c>
      <c r="O13" s="45" t="s">
        <v>44</v>
      </c>
      <c r="P13" s="5"/>
      <c r="R13" s="6"/>
      <c r="S13" s="6"/>
      <c r="T13" s="45" t="s">
        <v>41</v>
      </c>
      <c r="U13" s="45" t="s">
        <v>42</v>
      </c>
      <c r="V13" s="45" t="s">
        <v>43</v>
      </c>
      <c r="W13" s="45" t="s">
        <v>44</v>
      </c>
      <c r="X13" s="5"/>
    </row>
    <row r="14" spans="2:24" ht="16.2" customHeight="1" thickBot="1" x14ac:dyDescent="0.35">
      <c r="B14" s="69" t="s">
        <v>8</v>
      </c>
      <c r="C14" s="45" t="s">
        <v>41</v>
      </c>
      <c r="D14" s="3">
        <f t="shared" ref="D14:G17" si="0">D5*L5</f>
        <v>2.5500000000000002E-3</v>
      </c>
      <c r="E14" s="3">
        <f t="shared" si="0"/>
        <v>2.5500000000000002E-3</v>
      </c>
      <c r="F14" s="3">
        <f t="shared" si="0"/>
        <v>1.4450000000000001E-2</v>
      </c>
      <c r="G14" s="3">
        <f t="shared" si="0"/>
        <v>1.4450000000000001E-2</v>
      </c>
      <c r="H14" s="11"/>
      <c r="I14" s="20"/>
      <c r="J14" s="69" t="s">
        <v>8</v>
      </c>
      <c r="K14" s="45" t="s">
        <v>41</v>
      </c>
      <c r="L14" s="3">
        <f t="shared" ref="L14:O17" si="1">D5*T5</f>
        <v>2.5500000000000002E-3</v>
      </c>
      <c r="M14" s="3">
        <f t="shared" si="1"/>
        <v>1.9125000000000001E-3</v>
      </c>
      <c r="N14" s="3">
        <f t="shared" si="1"/>
        <v>1.08375E-2</v>
      </c>
      <c r="O14" s="3">
        <f t="shared" si="1"/>
        <v>8.1281249999999999E-3</v>
      </c>
      <c r="P14" s="5"/>
      <c r="R14" s="69" t="s">
        <v>8</v>
      </c>
      <c r="S14" s="45" t="s">
        <v>41</v>
      </c>
      <c r="T14" s="3">
        <f t="shared" ref="T14:W17" si="2">D5*L5*T5</f>
        <v>2.5500000000000002E-3</v>
      </c>
      <c r="U14" s="3">
        <f t="shared" si="2"/>
        <v>1.9125000000000001E-3</v>
      </c>
      <c r="V14" s="3">
        <f t="shared" si="2"/>
        <v>1.08375E-2</v>
      </c>
      <c r="W14" s="3">
        <f t="shared" si="2"/>
        <v>8.1281249999999999E-3</v>
      </c>
      <c r="X14" s="5"/>
    </row>
    <row r="15" spans="2:24" ht="14.4" customHeight="1" thickBot="1" x14ac:dyDescent="0.35">
      <c r="B15" s="69"/>
      <c r="C15" s="45" t="s">
        <v>42</v>
      </c>
      <c r="D15" s="3">
        <f t="shared" si="0"/>
        <v>6.1199999999999991E-2</v>
      </c>
      <c r="E15" s="3">
        <f t="shared" si="0"/>
        <v>0</v>
      </c>
      <c r="F15" s="3">
        <f t="shared" si="0"/>
        <v>0.34679999999999994</v>
      </c>
      <c r="G15" s="3">
        <f t="shared" si="0"/>
        <v>0</v>
      </c>
      <c r="H15" s="5"/>
      <c r="J15" s="69"/>
      <c r="K15" s="45" t="s">
        <v>42</v>
      </c>
      <c r="L15" s="3">
        <f t="shared" si="1"/>
        <v>4.5899999999999996E-2</v>
      </c>
      <c r="M15" s="3">
        <f t="shared" si="1"/>
        <v>0</v>
      </c>
      <c r="N15" s="3">
        <f t="shared" si="1"/>
        <v>0.19507499999999997</v>
      </c>
      <c r="O15" s="3">
        <f t="shared" si="1"/>
        <v>0</v>
      </c>
      <c r="P15" s="5"/>
      <c r="R15" s="69"/>
      <c r="S15" s="45" t="s">
        <v>42</v>
      </c>
      <c r="T15" s="3">
        <f t="shared" si="2"/>
        <v>4.5899999999999996E-2</v>
      </c>
      <c r="U15" s="3">
        <f t="shared" si="2"/>
        <v>0</v>
      </c>
      <c r="V15" s="3">
        <f t="shared" si="2"/>
        <v>0.19507499999999997</v>
      </c>
      <c r="W15" s="3">
        <f t="shared" si="2"/>
        <v>0</v>
      </c>
      <c r="X15" s="5"/>
    </row>
    <row r="16" spans="2:24" ht="15.6" thickBot="1" x14ac:dyDescent="0.35">
      <c r="B16" s="69"/>
      <c r="C16" s="45" t="s">
        <v>43</v>
      </c>
      <c r="D16" s="3">
        <f t="shared" si="0"/>
        <v>4.5000000000000004E-4</v>
      </c>
      <c r="E16" s="3">
        <f t="shared" si="0"/>
        <v>4.5000000000000004E-4</v>
      </c>
      <c r="F16" s="3">
        <f t="shared" si="0"/>
        <v>0</v>
      </c>
      <c r="G16" s="3">
        <f t="shared" si="0"/>
        <v>0</v>
      </c>
      <c r="H16" s="5"/>
      <c r="J16" s="69"/>
      <c r="K16" s="45" t="s">
        <v>43</v>
      </c>
      <c r="L16" s="3">
        <f t="shared" si="1"/>
        <v>3.3750000000000002E-4</v>
      </c>
      <c r="M16" s="3">
        <f t="shared" si="1"/>
        <v>2.5312500000000004E-4</v>
      </c>
      <c r="N16" s="3">
        <f t="shared" si="1"/>
        <v>0</v>
      </c>
      <c r="O16" s="3">
        <f t="shared" si="1"/>
        <v>0</v>
      </c>
      <c r="P16" s="5"/>
      <c r="R16" s="69"/>
      <c r="S16" s="45" t="s">
        <v>43</v>
      </c>
      <c r="T16" s="3">
        <f t="shared" si="2"/>
        <v>3.3750000000000002E-4</v>
      </c>
      <c r="U16" s="3">
        <f t="shared" si="2"/>
        <v>2.5312500000000004E-4</v>
      </c>
      <c r="V16" s="3">
        <f t="shared" si="2"/>
        <v>0</v>
      </c>
      <c r="W16" s="3">
        <f t="shared" si="2"/>
        <v>0</v>
      </c>
      <c r="X16" s="5"/>
    </row>
    <row r="17" spans="2:24" ht="15.6" thickBot="1" x14ac:dyDescent="0.35">
      <c r="B17" s="69"/>
      <c r="C17" s="45" t="s">
        <v>44</v>
      </c>
      <c r="D17" s="3">
        <f t="shared" si="0"/>
        <v>1.0800000000000001E-2</v>
      </c>
      <c r="E17" s="3">
        <f t="shared" si="0"/>
        <v>0</v>
      </c>
      <c r="F17" s="3">
        <f t="shared" si="0"/>
        <v>0</v>
      </c>
      <c r="G17" s="3">
        <f t="shared" si="0"/>
        <v>0</v>
      </c>
      <c r="H17" s="5"/>
      <c r="J17" s="69"/>
      <c r="K17" s="45" t="s">
        <v>44</v>
      </c>
      <c r="L17" s="3">
        <f t="shared" si="1"/>
        <v>6.0750000000000005E-3</v>
      </c>
      <c r="M17" s="3">
        <f t="shared" si="1"/>
        <v>0</v>
      </c>
      <c r="N17" s="3">
        <f t="shared" si="1"/>
        <v>0</v>
      </c>
      <c r="O17" s="3">
        <f t="shared" si="1"/>
        <v>0</v>
      </c>
      <c r="P17" s="5"/>
      <c r="R17" s="69"/>
      <c r="S17" s="45" t="s">
        <v>44</v>
      </c>
      <c r="T17" s="3">
        <f t="shared" si="2"/>
        <v>6.0750000000000005E-3</v>
      </c>
      <c r="U17" s="3">
        <f t="shared" si="2"/>
        <v>0</v>
      </c>
      <c r="V17" s="3">
        <f t="shared" si="2"/>
        <v>0</v>
      </c>
      <c r="W17" s="3">
        <f t="shared" si="2"/>
        <v>0</v>
      </c>
      <c r="X17" s="5"/>
    </row>
    <row r="18" spans="2:24" x14ac:dyDescent="0.3">
      <c r="B18" s="5"/>
      <c r="C18" s="5"/>
      <c r="D18" s="5"/>
      <c r="E18" s="5"/>
      <c r="F18" s="5"/>
      <c r="G18" s="5"/>
      <c r="H18" s="5"/>
      <c r="J18" s="5"/>
      <c r="K18" s="5"/>
      <c r="L18" s="5"/>
      <c r="M18" s="5"/>
      <c r="N18" s="5"/>
      <c r="O18" s="5"/>
      <c r="P18" s="5"/>
      <c r="Q18" s="21"/>
      <c r="R18" s="5"/>
      <c r="S18" s="5"/>
      <c r="T18" s="5"/>
      <c r="U18" s="5"/>
      <c r="V18" s="5"/>
      <c r="W18" s="5"/>
      <c r="X18" s="5"/>
    </row>
    <row r="19" spans="2:24" x14ac:dyDescent="0.3">
      <c r="Q19" s="21"/>
    </row>
    <row r="20" spans="2:24" ht="14.4" customHeight="1" thickBot="1" x14ac:dyDescent="0.35">
      <c r="B20" s="62" t="s">
        <v>12</v>
      </c>
      <c r="C20" s="62"/>
      <c r="D20" s="62"/>
      <c r="E20" s="62"/>
      <c r="F20" s="62"/>
      <c r="G20" s="62"/>
      <c r="H20" s="62"/>
      <c r="J20" s="62" t="s">
        <v>52</v>
      </c>
      <c r="K20" s="62"/>
      <c r="L20" s="62"/>
      <c r="M20" s="62"/>
      <c r="N20" s="62"/>
      <c r="O20" s="62"/>
      <c r="P20" s="62"/>
      <c r="Q20" s="71"/>
      <c r="R20" s="5"/>
      <c r="S20" s="62" t="s">
        <v>17</v>
      </c>
      <c r="T20" s="62"/>
      <c r="U20" s="62"/>
      <c r="V20" s="62"/>
      <c r="W20" s="62"/>
      <c r="X20" s="62"/>
    </row>
    <row r="21" spans="2:24" ht="14.4" thickBot="1" x14ac:dyDescent="0.35">
      <c r="B21" s="6"/>
      <c r="C21" s="6"/>
      <c r="D21" s="68" t="s">
        <v>9</v>
      </c>
      <c r="E21" s="68"/>
      <c r="F21" s="68"/>
      <c r="G21" s="68"/>
      <c r="H21" s="5"/>
      <c r="J21" s="5"/>
      <c r="K21" s="5"/>
      <c r="L21" s="68" t="s">
        <v>9</v>
      </c>
      <c r="M21" s="68"/>
      <c r="N21" s="68"/>
      <c r="O21" s="68"/>
      <c r="P21" s="5"/>
      <c r="Q21" s="71"/>
      <c r="R21" s="5"/>
      <c r="S21" s="5"/>
      <c r="T21" s="61" t="s">
        <v>2</v>
      </c>
      <c r="U21" s="61"/>
      <c r="V21" s="61" t="s">
        <v>14</v>
      </c>
      <c r="W21" s="61"/>
      <c r="X21" s="5"/>
    </row>
    <row r="22" spans="2:24" ht="15.6" thickBot="1" x14ac:dyDescent="0.35">
      <c r="B22" s="6"/>
      <c r="C22" s="6"/>
      <c r="D22" s="45" t="s">
        <v>41</v>
      </c>
      <c r="E22" s="45" t="s">
        <v>42</v>
      </c>
      <c r="F22" s="45" t="s">
        <v>43</v>
      </c>
      <c r="G22" s="45" t="s">
        <v>44</v>
      </c>
      <c r="H22" s="5"/>
      <c r="J22" s="5"/>
      <c r="K22" s="5"/>
      <c r="L22" s="45" t="s">
        <v>41</v>
      </c>
      <c r="M22" s="45" t="s">
        <v>42</v>
      </c>
      <c r="N22" s="45" t="s">
        <v>43</v>
      </c>
      <c r="O22" s="45" t="s">
        <v>44</v>
      </c>
      <c r="P22" s="5"/>
      <c r="Q22" s="71"/>
      <c r="R22" s="5"/>
      <c r="S22" s="5"/>
      <c r="T22" s="13" t="s">
        <v>4</v>
      </c>
      <c r="U22" s="13" t="s">
        <v>47</v>
      </c>
      <c r="V22" s="13" t="s">
        <v>4</v>
      </c>
      <c r="W22" s="13" t="s">
        <v>47</v>
      </c>
      <c r="X22" s="5"/>
    </row>
    <row r="23" spans="2:24" ht="15.6" thickBot="1" x14ac:dyDescent="0.35">
      <c r="B23" s="69" t="s">
        <v>8</v>
      </c>
      <c r="C23" s="45" t="s">
        <v>41</v>
      </c>
      <c r="D23" s="3">
        <f t="shared" ref="D23:G26" si="3">D5*L5^2</f>
        <v>2.5500000000000002E-3</v>
      </c>
      <c r="E23" s="3">
        <f t="shared" si="3"/>
        <v>2.5500000000000002E-3</v>
      </c>
      <c r="F23" s="3">
        <f t="shared" si="3"/>
        <v>1.4450000000000001E-2</v>
      </c>
      <c r="G23" s="3">
        <f t="shared" si="3"/>
        <v>1.4450000000000001E-2</v>
      </c>
      <c r="H23" s="5"/>
      <c r="J23" s="69" t="s">
        <v>8</v>
      </c>
      <c r="K23" s="45" t="s">
        <v>41</v>
      </c>
      <c r="L23" s="3">
        <f t="shared" ref="L23:O26" si="4">D5*T5^2</f>
        <v>2.5500000000000002E-3</v>
      </c>
      <c r="M23" s="3">
        <f t="shared" si="4"/>
        <v>1.4343750000000001E-3</v>
      </c>
      <c r="N23" s="3">
        <f t="shared" si="4"/>
        <v>8.1281249999999999E-3</v>
      </c>
      <c r="O23" s="3">
        <f t="shared" si="4"/>
        <v>4.5720703125E-3</v>
      </c>
      <c r="P23" s="5"/>
      <c r="Q23" s="23"/>
      <c r="R23" s="5"/>
      <c r="S23" s="5"/>
      <c r="T23" s="3">
        <f>SUM(D14:G17)</f>
        <v>0.45369999999999994</v>
      </c>
      <c r="U23" s="3">
        <f>SUM(L14:O17)</f>
        <v>0.27106874999999997</v>
      </c>
      <c r="V23" s="3">
        <f>SUM(D23:G26) - T23^2</f>
        <v>0.24785631</v>
      </c>
      <c r="W23" s="3">
        <f>SUM(L23:O26) - U23^2</f>
        <v>9.1173685898437495E-2</v>
      </c>
      <c r="X23" s="5"/>
    </row>
    <row r="24" spans="2:24" ht="14.4" customHeight="1" thickBot="1" x14ac:dyDescent="0.35">
      <c r="B24" s="69"/>
      <c r="C24" s="45" t="s">
        <v>42</v>
      </c>
      <c r="D24" s="3">
        <f t="shared" si="3"/>
        <v>6.1199999999999991E-2</v>
      </c>
      <c r="E24" s="3">
        <f t="shared" si="3"/>
        <v>0</v>
      </c>
      <c r="F24" s="3">
        <f t="shared" si="3"/>
        <v>0.34679999999999994</v>
      </c>
      <c r="G24" s="3">
        <f t="shared" si="3"/>
        <v>0</v>
      </c>
      <c r="H24" s="11"/>
      <c r="I24" s="20"/>
      <c r="J24" s="69"/>
      <c r="K24" s="45" t="s">
        <v>42</v>
      </c>
      <c r="L24" s="3">
        <f t="shared" si="4"/>
        <v>3.4424999999999997E-2</v>
      </c>
      <c r="M24" s="3">
        <f t="shared" si="4"/>
        <v>0</v>
      </c>
      <c r="N24" s="3">
        <f t="shared" si="4"/>
        <v>0.10972968749999998</v>
      </c>
      <c r="O24" s="3">
        <f t="shared" si="4"/>
        <v>0</v>
      </c>
      <c r="P24" s="11"/>
      <c r="R24" s="5"/>
      <c r="S24" s="5"/>
      <c r="T24" s="5"/>
      <c r="U24" s="5"/>
      <c r="V24" s="5"/>
      <c r="W24" s="5"/>
      <c r="X24" s="11"/>
    </row>
    <row r="25" spans="2:24" ht="15.6" thickBot="1" x14ac:dyDescent="0.35">
      <c r="B25" s="69"/>
      <c r="C25" s="45" t="s">
        <v>43</v>
      </c>
      <c r="D25" s="3">
        <f t="shared" si="3"/>
        <v>4.5000000000000004E-4</v>
      </c>
      <c r="E25" s="3">
        <f t="shared" si="3"/>
        <v>4.5000000000000004E-4</v>
      </c>
      <c r="F25" s="3">
        <f t="shared" si="3"/>
        <v>0</v>
      </c>
      <c r="G25" s="3">
        <f t="shared" si="3"/>
        <v>0</v>
      </c>
      <c r="H25" s="5"/>
      <c r="J25" s="69"/>
      <c r="K25" s="45" t="s">
        <v>43</v>
      </c>
      <c r="L25" s="3">
        <f t="shared" si="4"/>
        <v>2.5312500000000004E-4</v>
      </c>
      <c r="M25" s="3">
        <f t="shared" si="4"/>
        <v>1.4238281250000001E-4</v>
      </c>
      <c r="N25" s="3">
        <f t="shared" si="4"/>
        <v>0</v>
      </c>
      <c r="O25" s="3">
        <f t="shared" si="4"/>
        <v>0</v>
      </c>
      <c r="P25" s="5"/>
      <c r="R25" s="5"/>
      <c r="S25" s="5"/>
      <c r="T25" s="61" t="s">
        <v>3</v>
      </c>
      <c r="U25" s="61"/>
      <c r="V25" s="61" t="s">
        <v>5</v>
      </c>
      <c r="W25" s="61"/>
      <c r="X25" s="5"/>
    </row>
    <row r="26" spans="2:24" ht="15.6" thickBot="1" x14ac:dyDescent="0.35">
      <c r="B26" s="69"/>
      <c r="C26" s="45" t="s">
        <v>44</v>
      </c>
      <c r="D26" s="3">
        <f t="shared" si="3"/>
        <v>1.0800000000000001E-2</v>
      </c>
      <c r="E26" s="3">
        <f t="shared" si="3"/>
        <v>0</v>
      </c>
      <c r="F26" s="3">
        <f t="shared" si="3"/>
        <v>0</v>
      </c>
      <c r="G26" s="3">
        <f t="shared" si="3"/>
        <v>0</v>
      </c>
      <c r="H26" s="5"/>
      <c r="J26" s="69"/>
      <c r="K26" s="45" t="s">
        <v>44</v>
      </c>
      <c r="L26" s="3">
        <f t="shared" si="4"/>
        <v>3.4171875000000001E-3</v>
      </c>
      <c r="M26" s="3">
        <f t="shared" si="4"/>
        <v>0</v>
      </c>
      <c r="N26" s="3">
        <f t="shared" si="4"/>
        <v>0</v>
      </c>
      <c r="O26" s="3">
        <f t="shared" si="4"/>
        <v>0</v>
      </c>
      <c r="P26" s="5"/>
      <c r="R26" s="5"/>
      <c r="S26" s="5"/>
      <c r="T26" s="67">
        <f>(SUM(T14:W17) - T23 * U23)</f>
        <v>0.148084858125</v>
      </c>
      <c r="U26" s="67"/>
      <c r="V26" s="67">
        <f>T26/(SQRT(V23)*SQRT(W23))</f>
        <v>0.98508999332842295</v>
      </c>
      <c r="W26" s="67"/>
      <c r="X26" s="5"/>
    </row>
    <row r="27" spans="2:24" x14ac:dyDescent="0.3">
      <c r="B27" s="61"/>
      <c r="C27" s="61"/>
      <c r="D27" s="61"/>
      <c r="E27" s="61"/>
      <c r="F27" s="61"/>
      <c r="G27" s="61"/>
      <c r="H27" s="5"/>
      <c r="J27" s="7"/>
      <c r="K27" s="7"/>
      <c r="L27" s="7"/>
      <c r="M27" s="7"/>
      <c r="N27" s="7"/>
      <c r="O27" s="7"/>
      <c r="P27" s="7"/>
      <c r="R27" s="5"/>
      <c r="S27" s="5"/>
      <c r="T27" s="5"/>
      <c r="U27" s="5"/>
      <c r="V27" s="5"/>
      <c r="W27" s="5"/>
      <c r="X27" s="5"/>
    </row>
    <row r="28" spans="2:24" x14ac:dyDescent="0.3">
      <c r="J28" s="21"/>
      <c r="K28" s="21"/>
      <c r="L28" s="21"/>
      <c r="M28" s="8"/>
      <c r="N28" s="8"/>
      <c r="O28" s="8"/>
      <c r="P28" s="8"/>
    </row>
    <row r="29" spans="2:24" x14ac:dyDescent="0.3">
      <c r="J29" s="21"/>
      <c r="K29" s="21"/>
      <c r="L29" s="21"/>
      <c r="M29" s="8"/>
      <c r="N29" s="8"/>
      <c r="O29" s="8"/>
      <c r="P29" s="8"/>
    </row>
    <row r="30" spans="2:24" x14ac:dyDescent="0.3">
      <c r="J30" s="21"/>
      <c r="K30" s="21"/>
      <c r="L30" s="21"/>
      <c r="M30" s="24"/>
      <c r="N30" s="24"/>
      <c r="O30" s="24"/>
      <c r="P30" s="24"/>
    </row>
    <row r="31" spans="2:24" ht="14.4" customHeight="1" x14ac:dyDescent="0.3">
      <c r="J31" s="22"/>
      <c r="K31" s="25"/>
      <c r="L31" s="25"/>
    </row>
    <row r="32" spans="2:24" x14ac:dyDescent="0.3">
      <c r="J32" s="22"/>
      <c r="K32" s="25"/>
      <c r="L32" s="25"/>
    </row>
    <row r="33" spans="8:17" x14ac:dyDescent="0.3">
      <c r="J33" s="22"/>
      <c r="K33" s="25"/>
      <c r="L33" s="25"/>
    </row>
    <row r="34" spans="8:17" x14ac:dyDescent="0.3">
      <c r="J34" s="23"/>
      <c r="K34" s="25"/>
      <c r="L34" s="25"/>
    </row>
    <row r="35" spans="8:17" x14ac:dyDescent="0.3">
      <c r="H35" s="20"/>
      <c r="I35" s="20"/>
      <c r="Q35" s="20"/>
    </row>
  </sheetData>
  <mergeCells count="33">
    <mergeCell ref="B27:G27"/>
    <mergeCell ref="B14:B17"/>
    <mergeCell ref="J14:J17"/>
    <mergeCell ref="Q20:Q22"/>
    <mergeCell ref="T25:U25"/>
    <mergeCell ref="T21:U21"/>
    <mergeCell ref="T26:U26"/>
    <mergeCell ref="J23:J26"/>
    <mergeCell ref="B23:B26"/>
    <mergeCell ref="R14:R17"/>
    <mergeCell ref="B2:H2"/>
    <mergeCell ref="J2:P2"/>
    <mergeCell ref="R2:X2"/>
    <mergeCell ref="T3:W3"/>
    <mergeCell ref="L3:O3"/>
    <mergeCell ref="D3:G3"/>
    <mergeCell ref="B5:B8"/>
    <mergeCell ref="J5:J8"/>
    <mergeCell ref="R5:R8"/>
    <mergeCell ref="J11:P11"/>
    <mergeCell ref="B11:H11"/>
    <mergeCell ref="R11:X11"/>
    <mergeCell ref="V21:W21"/>
    <mergeCell ref="V25:W25"/>
    <mergeCell ref="V26:W26"/>
    <mergeCell ref="D12:G12"/>
    <mergeCell ref="L12:O12"/>
    <mergeCell ref="B20:H20"/>
    <mergeCell ref="J20:P20"/>
    <mergeCell ref="S20:X20"/>
    <mergeCell ref="D21:G21"/>
    <mergeCell ref="L21:O21"/>
    <mergeCell ref="T12:W12"/>
  </mergeCells>
  <conditionalFormatting sqref="D5:G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O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:W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20"/>
  <sheetViews>
    <sheetView showGridLines="0" zoomScaleNormal="100" workbookViewId="0">
      <selection activeCell="G22" sqref="G22"/>
    </sheetView>
  </sheetViews>
  <sheetFormatPr defaultRowHeight="13.8" x14ac:dyDescent="0.3"/>
  <cols>
    <col min="1" max="1" width="3.33203125" style="1" customWidth="1"/>
    <col min="2" max="2" width="3.77734375" style="1" bestFit="1" customWidth="1"/>
    <col min="3" max="3" width="4.33203125" style="1" bestFit="1" customWidth="1"/>
    <col min="4" max="7" width="6" style="1" bestFit="1" customWidth="1"/>
    <col min="8" max="8" width="2.88671875" style="1" bestFit="1" customWidth="1"/>
    <col min="9" max="9" width="2.77734375" style="4" customWidth="1"/>
    <col min="10" max="10" width="4.33203125" style="1" bestFit="1" customWidth="1"/>
    <col min="11" max="12" width="6" style="1" bestFit="1" customWidth="1"/>
    <col min="13" max="13" width="8.33203125" style="1" bestFit="1" customWidth="1"/>
    <col min="14" max="15" width="7.44140625" style="1" bestFit="1" customWidth="1"/>
    <col min="16" max="17" width="2.77734375" style="1" customWidth="1"/>
    <col min="18" max="18" width="3.77734375" style="1" bestFit="1" customWidth="1"/>
    <col min="19" max="19" width="5" style="1" bestFit="1" customWidth="1"/>
    <col min="20" max="20" width="5.44140625" style="1" bestFit="1" customWidth="1"/>
    <col min="21" max="23" width="6" style="1" bestFit="1" customWidth="1"/>
    <col min="24" max="24" width="2.109375" style="1" customWidth="1"/>
    <col min="25" max="25" width="6.5546875" style="1" customWidth="1"/>
    <col min="26" max="26" width="4.44140625" style="1" bestFit="1" customWidth="1"/>
    <col min="27" max="27" width="6.5546875" style="1" bestFit="1" customWidth="1"/>
    <col min="28" max="28" width="12" style="1" bestFit="1" customWidth="1"/>
    <col min="29" max="29" width="9" style="1" bestFit="1" customWidth="1"/>
    <col min="30" max="30" width="9.21875" style="1" bestFit="1" customWidth="1"/>
    <col min="31" max="16384" width="8.88671875" style="1"/>
  </cols>
  <sheetData>
    <row r="2" spans="2:38" ht="14.4" thickBot="1" x14ac:dyDescent="0.35">
      <c r="B2" s="62" t="s">
        <v>20</v>
      </c>
      <c r="C2" s="62"/>
      <c r="D2" s="62"/>
      <c r="E2" s="62"/>
      <c r="F2" s="62"/>
      <c r="G2" s="62"/>
      <c r="H2" s="62"/>
      <c r="J2" s="62" t="s">
        <v>21</v>
      </c>
      <c r="K2" s="62"/>
      <c r="L2" s="62"/>
      <c r="M2" s="62"/>
      <c r="N2" s="62"/>
      <c r="O2" s="62"/>
      <c r="P2" s="62"/>
      <c r="R2" s="62" t="s">
        <v>50</v>
      </c>
      <c r="S2" s="62"/>
      <c r="T2" s="62"/>
      <c r="U2" s="62"/>
      <c r="V2" s="62"/>
      <c r="W2" s="62"/>
      <c r="X2" s="62"/>
    </row>
    <row r="3" spans="2:38" ht="14.4" thickBot="1" x14ac:dyDescent="0.35">
      <c r="B3" s="5"/>
      <c r="C3" s="6"/>
      <c r="D3" s="70" t="s">
        <v>9</v>
      </c>
      <c r="E3" s="70"/>
      <c r="F3" s="70"/>
      <c r="G3" s="70"/>
      <c r="H3" s="5"/>
      <c r="J3" s="6"/>
      <c r="K3" s="6"/>
      <c r="L3" s="68" t="s">
        <v>9</v>
      </c>
      <c r="M3" s="68"/>
      <c r="N3" s="68"/>
      <c r="O3" s="68"/>
      <c r="P3" s="7"/>
      <c r="R3" s="6"/>
      <c r="S3" s="6"/>
      <c r="T3" s="68" t="s">
        <v>9</v>
      </c>
      <c r="U3" s="68"/>
      <c r="V3" s="68"/>
      <c r="W3" s="68"/>
      <c r="X3" s="5"/>
      <c r="AI3" s="8"/>
      <c r="AJ3" s="8"/>
      <c r="AK3" s="8"/>
      <c r="AL3" s="8"/>
    </row>
    <row r="4" spans="2:38" ht="15.6" thickBot="1" x14ac:dyDescent="0.35">
      <c r="B4" s="5"/>
      <c r="C4" s="6"/>
      <c r="D4" s="45" t="s">
        <v>41</v>
      </c>
      <c r="E4" s="45" t="s">
        <v>42</v>
      </c>
      <c r="F4" s="45" t="s">
        <v>43</v>
      </c>
      <c r="G4" s="45" t="s">
        <v>44</v>
      </c>
      <c r="H4" s="5"/>
      <c r="J4" s="6"/>
      <c r="K4" s="6"/>
      <c r="L4" s="45" t="s">
        <v>41</v>
      </c>
      <c r="M4" s="45" t="s">
        <v>42</v>
      </c>
      <c r="N4" s="45" t="s">
        <v>43</v>
      </c>
      <c r="O4" s="45" t="s">
        <v>44</v>
      </c>
      <c r="P4" s="5"/>
      <c r="R4" s="6"/>
      <c r="S4" s="6"/>
      <c r="T4" s="45" t="s">
        <v>41</v>
      </c>
      <c r="U4" s="45" t="s">
        <v>42</v>
      </c>
      <c r="V4" s="45" t="s">
        <v>43</v>
      </c>
      <c r="W4" s="45" t="s">
        <v>44</v>
      </c>
      <c r="X4" s="5"/>
    </row>
    <row r="5" spans="2:38" ht="14.4" customHeight="1" thickBot="1" x14ac:dyDescent="0.35">
      <c r="B5" s="69" t="s">
        <v>8</v>
      </c>
      <c r="C5" s="45" t="s">
        <v>41</v>
      </c>
      <c r="D5" s="10">
        <f>(calculator!$C$7)*(calculator!$C$8) * (calculator!$D$7)*(calculator!$D$8)</f>
        <v>2.5500000000000002E-3</v>
      </c>
      <c r="E5" s="10">
        <f>(calculator!$C$7)*(calculator!$C$8) * (calculator!$D$7)*(1-calculator!$D$8)</f>
        <v>2.5500000000000002E-3</v>
      </c>
      <c r="F5" s="10">
        <f>(calculator!$C$7)*(calculator!$C$8) * (1-calculator!$D$7)*(calculator!$D$8)</f>
        <v>1.4450000000000001E-2</v>
      </c>
      <c r="G5" s="10">
        <f>(calculator!$C$7)*(calculator!$C$8) * (1-calculator!$D$7)*(1-calculator!$D$8)</f>
        <v>1.4450000000000001E-2</v>
      </c>
      <c r="H5" s="5"/>
      <c r="J5" s="77" t="s">
        <v>8</v>
      </c>
      <c r="K5" s="45" t="s">
        <v>41</v>
      </c>
      <c r="L5" s="10">
        <f>calculator!$I$7</f>
        <v>1</v>
      </c>
      <c r="M5" s="10">
        <f>calculator!$J$7</f>
        <v>1</v>
      </c>
      <c r="N5" s="10">
        <f>calculator!$I$8</f>
        <v>1</v>
      </c>
      <c r="O5" s="10">
        <f>calculator!$J$8</f>
        <v>1</v>
      </c>
      <c r="P5" s="5"/>
      <c r="R5" s="77" t="s">
        <v>8</v>
      </c>
      <c r="S5" s="45" t="s">
        <v>41</v>
      </c>
      <c r="T5" s="10">
        <f>calculator!$I$7</f>
        <v>1</v>
      </c>
      <c r="U5" s="10">
        <f>0.25*calculator!$I$7 + 0.5 * calculator!$J$7 + 0.25 * calculator!$K$7</f>
        <v>0.75</v>
      </c>
      <c r="V5" s="10">
        <f>0.25*calculator!$I$7 + 0.5 * calculator!$I$8 + 0.25 * calculator!$I$9</f>
        <v>0.75</v>
      </c>
      <c r="W5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X5" s="5"/>
    </row>
    <row r="6" spans="2:38" ht="15.6" thickBot="1" x14ac:dyDescent="0.35">
      <c r="B6" s="69"/>
      <c r="C6" s="45" t="s">
        <v>42</v>
      </c>
      <c r="D6" s="10">
        <f>(calculator!$C$7)*(1-calculator!$C$8) * (calculator!$D$7)*(calculator!$D$8)</f>
        <v>6.1199999999999991E-2</v>
      </c>
      <c r="E6" s="10">
        <f>(calculator!$C$7)*(1-calculator!$C$8) * (calculator!$D$7)*(1-calculator!$D$8)</f>
        <v>6.1199999999999991E-2</v>
      </c>
      <c r="F6" s="10">
        <f>(calculator!$C$7)*(1-calculator!$C$8) * (1-calculator!$D$7)*(calculator!$D$8)</f>
        <v>0.34679999999999994</v>
      </c>
      <c r="G6" s="10">
        <f>(calculator!$C$7)*(1-calculator!$C$8) * (1-calculator!$D$7)*(1-calculator!$D$8)</f>
        <v>0.34679999999999994</v>
      </c>
      <c r="H6" s="5"/>
      <c r="J6" s="77"/>
      <c r="K6" s="45" t="s">
        <v>42</v>
      </c>
      <c r="L6" s="10">
        <f>calculator!$J$7</f>
        <v>1</v>
      </c>
      <c r="M6" s="10">
        <f>calculator!$K$7</f>
        <v>0</v>
      </c>
      <c r="N6" s="10">
        <f>calculator!$J$8</f>
        <v>1</v>
      </c>
      <c r="O6" s="10">
        <f>calculator!$K$8</f>
        <v>0</v>
      </c>
      <c r="P6" s="5"/>
      <c r="R6" s="77"/>
      <c r="S6" s="45" t="s">
        <v>42</v>
      </c>
      <c r="T6" s="10">
        <f>0.25*calculator!$I$7 + 0.5 * calculator!$J$7 + 0.25 * calculator!$K$7</f>
        <v>0.75</v>
      </c>
      <c r="U6" s="10">
        <f>calculator!$K$7</f>
        <v>0</v>
      </c>
      <c r="V6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W6" s="10">
        <f>0.25*calculator!$K$7 + 0.5 *calculator!$K$8 + 0.25 * calculator!$K$9</f>
        <v>0</v>
      </c>
      <c r="X6" s="5"/>
    </row>
    <row r="7" spans="2:38" ht="15.6" thickBot="1" x14ac:dyDescent="0.35">
      <c r="B7" s="69"/>
      <c r="C7" s="45" t="s">
        <v>43</v>
      </c>
      <c r="D7" s="10">
        <f>(1-calculator!$C$7)*(calculator!$C$8)*(calculator!$D$7)*(calculator!$D$8)</f>
        <v>4.5000000000000004E-4</v>
      </c>
      <c r="E7" s="10">
        <f>(1-calculator!$C$7)*(calculator!$C$8)*(calculator!$D$7)*(1-calculator!$D$8)</f>
        <v>4.5000000000000004E-4</v>
      </c>
      <c r="F7" s="10">
        <f>(1-calculator!$C$7)*(calculator!$C$8) * (1-calculator!$D$7)*(calculator!$D$8)</f>
        <v>2.5500000000000002E-3</v>
      </c>
      <c r="G7" s="10">
        <f>(1-calculator!$C$7)*(calculator!$C$8) * (1-calculator!$D$7)*(1-calculator!$D$8)</f>
        <v>2.5500000000000002E-3</v>
      </c>
      <c r="H7" s="5"/>
      <c r="J7" s="77"/>
      <c r="K7" s="45" t="s">
        <v>43</v>
      </c>
      <c r="L7" s="10">
        <f>calculator!$I$8</f>
        <v>1</v>
      </c>
      <c r="M7" s="10">
        <f>calculator!$J$8</f>
        <v>1</v>
      </c>
      <c r="N7" s="10">
        <f>calculator!$I$9</f>
        <v>0</v>
      </c>
      <c r="O7" s="10">
        <f>calculator!$J$9</f>
        <v>0</v>
      </c>
      <c r="P7" s="5"/>
      <c r="R7" s="77"/>
      <c r="S7" s="45" t="s">
        <v>43</v>
      </c>
      <c r="T7" s="10">
        <f>0.25*calculator!$I$7 + 0.5 * calculator!$I$8 + 0.25 * calculator!$I$9</f>
        <v>0.75</v>
      </c>
      <c r="U7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V7" s="10">
        <f>calculator!$I$9</f>
        <v>0</v>
      </c>
      <c r="W7" s="10">
        <f>0.25*calculator!$I$9 + 0.5 * calculator!$J$9 + 0.25 * calculator!$K$9</f>
        <v>0</v>
      </c>
      <c r="X7" s="5"/>
      <c r="AA7" s="75"/>
      <c r="AB7" s="75"/>
      <c r="AC7" s="75"/>
      <c r="AD7" s="75"/>
    </row>
    <row r="8" spans="2:38" ht="15.6" thickBot="1" x14ac:dyDescent="0.35">
      <c r="B8" s="69"/>
      <c r="C8" s="45" t="s">
        <v>44</v>
      </c>
      <c r="D8" s="10">
        <f>(1-calculator!$C$7)*(1-calculator!$C$8)*(calculator!$D$7)*(calculator!$D$8)</f>
        <v>1.0800000000000001E-2</v>
      </c>
      <c r="E8" s="10">
        <f>(1-calculator!$C$7)*(1-calculator!$C$8)*(calculator!$D$7)*(1-calculator!$D$8)</f>
        <v>1.0800000000000001E-2</v>
      </c>
      <c r="F8" s="10">
        <f>(1-calculator!$C$7)*(1-calculator!$C$8) * (1-calculator!$D$7)*(calculator!$D$8)</f>
        <v>6.1200000000000004E-2</v>
      </c>
      <c r="G8" s="10">
        <f>(1-calculator!$C$7)*(1-calculator!$C$8) * (1-calculator!$D$7)*(1-calculator!$D$8)</f>
        <v>6.1200000000000004E-2</v>
      </c>
      <c r="H8" s="5"/>
      <c r="J8" s="77"/>
      <c r="K8" s="45" t="s">
        <v>44</v>
      </c>
      <c r="L8" s="10">
        <f>calculator!$J$8</f>
        <v>1</v>
      </c>
      <c r="M8" s="10">
        <f>calculator!K8</f>
        <v>0</v>
      </c>
      <c r="N8" s="10">
        <f>calculator!$J$9</f>
        <v>0</v>
      </c>
      <c r="O8" s="10">
        <f>calculator!$K$9</f>
        <v>0</v>
      </c>
      <c r="P8" s="5"/>
      <c r="R8" s="77"/>
      <c r="S8" s="45" t="s">
        <v>44</v>
      </c>
      <c r="T8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U8" s="10">
        <f>0.25*calculator!$K$7 + 0.5 *calculator!$K$8 + 0.25 * calculator!$K$9</f>
        <v>0</v>
      </c>
      <c r="V8" s="10">
        <f>0.25*calculator!$I$9 + 0.5 * calculator!$J$9 + 0.25 * calculator!$K$9</f>
        <v>0</v>
      </c>
      <c r="W8" s="10">
        <f>calculator!$K$9</f>
        <v>0</v>
      </c>
      <c r="X8" s="5"/>
    </row>
    <row r="9" spans="2:38" x14ac:dyDescent="0.3">
      <c r="B9" s="5"/>
      <c r="C9" s="5"/>
      <c r="D9" s="5"/>
      <c r="E9" s="5"/>
      <c r="F9" s="5"/>
      <c r="G9" s="5"/>
      <c r="H9" s="11"/>
      <c r="I9" s="12"/>
      <c r="J9" s="5"/>
      <c r="K9" s="5"/>
      <c r="L9" s="5"/>
      <c r="M9" s="5"/>
      <c r="N9" s="5"/>
      <c r="O9" s="5"/>
      <c r="P9" s="5"/>
      <c r="R9" s="5"/>
      <c r="S9" s="5"/>
      <c r="T9" s="5"/>
      <c r="U9" s="5"/>
      <c r="V9" s="5"/>
      <c r="W9" s="5"/>
      <c r="X9" s="5"/>
    </row>
    <row r="10" spans="2:38" x14ac:dyDescent="0.3">
      <c r="I10" s="12"/>
    </row>
    <row r="11" spans="2:38" ht="14.4" thickBot="1" x14ac:dyDescent="0.35">
      <c r="C11" s="62" t="s">
        <v>24</v>
      </c>
      <c r="D11" s="62"/>
      <c r="E11" s="62"/>
      <c r="F11" s="62"/>
      <c r="G11" s="62"/>
      <c r="H11" s="62"/>
      <c r="J11" s="62" t="s">
        <v>22</v>
      </c>
      <c r="K11" s="62"/>
      <c r="L11" s="62"/>
      <c r="M11" s="62"/>
      <c r="N11" s="62"/>
      <c r="O11" s="62"/>
      <c r="P11" s="62"/>
      <c r="Q11" s="8"/>
      <c r="R11" s="62" t="s">
        <v>17</v>
      </c>
      <c r="S11" s="62"/>
      <c r="T11" s="62"/>
      <c r="U11" s="62"/>
      <c r="V11" s="62"/>
      <c r="W11" s="62"/>
      <c r="X11" s="62"/>
    </row>
    <row r="12" spans="2:38" ht="15.6" thickBot="1" x14ac:dyDescent="0.35">
      <c r="C12" s="5"/>
      <c r="D12" s="45" t="s">
        <v>41</v>
      </c>
      <c r="E12" s="45" t="s">
        <v>42</v>
      </c>
      <c r="F12" s="45" t="s">
        <v>43</v>
      </c>
      <c r="G12" s="45" t="s">
        <v>44</v>
      </c>
      <c r="H12" s="5"/>
      <c r="J12" s="7"/>
      <c r="K12" s="13" t="s">
        <v>10</v>
      </c>
      <c r="L12" s="13" t="s">
        <v>51</v>
      </c>
      <c r="M12" s="14" t="s">
        <v>11</v>
      </c>
      <c r="N12" s="14" t="s">
        <v>12</v>
      </c>
      <c r="O12" s="14" t="s">
        <v>52</v>
      </c>
      <c r="P12" s="5"/>
      <c r="R12" s="5"/>
      <c r="S12" s="5"/>
      <c r="T12" s="76" t="s">
        <v>2</v>
      </c>
      <c r="U12" s="76"/>
      <c r="V12" s="76" t="s">
        <v>14</v>
      </c>
      <c r="W12" s="76"/>
      <c r="X12" s="76"/>
    </row>
    <row r="13" spans="2:38" ht="15.6" thickBot="1" x14ac:dyDescent="0.35">
      <c r="C13" s="15" t="s">
        <v>4</v>
      </c>
      <c r="D13" s="10">
        <f>(D5*L5 + E5*M5 + F5 *N5 + G5*O5)/((calculator!C7) * (calculator!C8)) - hybrids!T23</f>
        <v>0.54630000000000001</v>
      </c>
      <c r="E13" s="10">
        <f>(D6*L6 + E6*M6 + F6 *N6 + G6*O6)/((calculator!C7) * (1-calculator!C8)) - hybrids!T23</f>
        <v>4.6300000000000008E-2</v>
      </c>
      <c r="F13" s="10">
        <f>(D7*L7 + E7*M7 + F7 *N7 + G7*O7)/((1-calculator!C7) * (calculator!C8)) - hybrids!T23</f>
        <v>-0.30369999999999997</v>
      </c>
      <c r="G13" s="10">
        <f>(D8*L8 + E8*M8 + F8 *N8 + G8*O8)/((1-calculator!C7) * (1-calculator!C8)) - hybrids!T23</f>
        <v>-0.37869999999999993</v>
      </c>
      <c r="H13" s="5"/>
      <c r="J13" s="45" t="s">
        <v>41</v>
      </c>
      <c r="K13" s="3">
        <f>D13*calculator!C7*calculator!C8</f>
        <v>1.8574200000000003E-2</v>
      </c>
      <c r="L13" s="3">
        <f>D14*calculator!C7*calculator!C8</f>
        <v>1.4211787500000002E-2</v>
      </c>
      <c r="M13" s="3">
        <f>D13*D14*calculator!C7*calculator!C8</f>
        <v>7.763899511250001E-3</v>
      </c>
      <c r="N13" s="3">
        <f>(D13^2)*calculator!C7*calculator!C8</f>
        <v>1.0147085459999998E-2</v>
      </c>
      <c r="O13" s="3">
        <f>(D14^2)*calculator!C7*calculator!C8</f>
        <v>5.9404383513281265E-3</v>
      </c>
      <c r="P13" s="5"/>
      <c r="R13" s="5"/>
      <c r="S13" s="5"/>
      <c r="T13" s="13" t="s">
        <v>4</v>
      </c>
      <c r="U13" s="13" t="s">
        <v>47</v>
      </c>
      <c r="V13" s="13" t="s">
        <v>4</v>
      </c>
      <c r="W13" s="13" t="s">
        <v>47</v>
      </c>
      <c r="X13" s="5"/>
    </row>
    <row r="14" spans="2:38" ht="15.6" thickBot="1" x14ac:dyDescent="0.35">
      <c r="C14" s="15" t="s">
        <v>47</v>
      </c>
      <c r="D14" s="10">
        <f>(D5*T5 + E5*U5 + F5*V5 + G5*W5)/((calculator!C7) * (calculator!C8)) - hybrids!U23</f>
        <v>0.41799375000000005</v>
      </c>
      <c r="E14" s="10">
        <f>(D6*T6 + E6*U6 + F6 *V6 + G6*W6)/((calculator!C7) * (1-calculator!C8)) - hybrids!U23</f>
        <v>2.4243750000000008E-2</v>
      </c>
      <c r="F14" s="10">
        <f>(D7*T7 + E7*U7 + F7 *V7 + G7*W7)/((1-calculator!C7) * (calculator!C8)) - hybrids!U23</f>
        <v>-0.17263124999999999</v>
      </c>
      <c r="G14" s="10">
        <f>(D8*T8 + E8*U8 + F8 *V8 + G8*W8)/((1-calculator!C7) * (1-calculator!C8)) - hybrids!U23</f>
        <v>-0.22888124999999998</v>
      </c>
      <c r="H14" s="5"/>
      <c r="J14" s="45" t="s">
        <v>42</v>
      </c>
      <c r="K14" s="3">
        <f>E13*calculator!C7*(1-calculator!C8)</f>
        <v>3.7780800000000003E-2</v>
      </c>
      <c r="L14" s="3">
        <f>E14*calculator!C7*(1-calculator!C8)</f>
        <v>1.9782900000000006E-2</v>
      </c>
      <c r="M14" s="3">
        <f>E13*E14*calculator!C7*(1-calculator!C8)</f>
        <v>9.1594827000000042E-4</v>
      </c>
      <c r="N14" s="3">
        <f>(E13^2)*calculator!C7*(1-calculator!C8)</f>
        <v>1.7492510400000003E-3</v>
      </c>
      <c r="O14" s="3">
        <f>(E14^2)*calculator!C7*(1-calculator!C8)</f>
        <v>4.7961168187500032E-4</v>
      </c>
      <c r="P14" s="5"/>
      <c r="R14" s="5"/>
      <c r="S14" s="13" t="s">
        <v>13</v>
      </c>
      <c r="T14" s="3">
        <f>SUM(K13:K16)</f>
        <v>0</v>
      </c>
      <c r="U14" s="3">
        <f>SUM(L13:L16)</f>
        <v>0</v>
      </c>
      <c r="V14" s="3">
        <f>SUM(N13:N16)</f>
        <v>3.3101309999999995E-2</v>
      </c>
      <c r="W14" s="3">
        <f>SUM(O13:O16)</f>
        <v>1.4142533554687501E-2</v>
      </c>
      <c r="X14" s="5"/>
    </row>
    <row r="15" spans="2:38" ht="15.6" thickBot="1" x14ac:dyDescent="0.35">
      <c r="C15" s="5"/>
      <c r="D15" s="5"/>
      <c r="E15" s="5"/>
      <c r="F15" s="5"/>
      <c r="G15" s="5"/>
      <c r="H15" s="5"/>
      <c r="I15" s="2"/>
      <c r="J15" s="45" t="s">
        <v>43</v>
      </c>
      <c r="K15" s="3">
        <f>F13*(1-calculator!C7)*calculator!C8</f>
        <v>-1.8222000000000002E-3</v>
      </c>
      <c r="L15" s="3">
        <f>F14*(1-calculator!C7)*calculator!C8</f>
        <v>-1.0357875000000002E-3</v>
      </c>
      <c r="M15" s="3">
        <f>F13*F14*(1-calculator!C7)*calculator!C8</f>
        <v>3.1456866374999999E-4</v>
      </c>
      <c r="N15" s="3">
        <f>(F13^2)*(1-calculator!C7)*calculator!C8</f>
        <v>5.5340214000000002E-4</v>
      </c>
      <c r="O15" s="3">
        <f>(F14^2)*(1-calculator!C7)*calculator!C8</f>
        <v>1.7880929085937501E-4</v>
      </c>
      <c r="P15" s="5"/>
      <c r="R15" s="5"/>
      <c r="S15" s="13"/>
      <c r="T15" s="5"/>
      <c r="U15" s="5"/>
      <c r="V15" s="5"/>
      <c r="W15" s="5"/>
      <c r="X15" s="5"/>
    </row>
    <row r="16" spans="2:38" ht="15.6" thickBot="1" x14ac:dyDescent="0.35">
      <c r="J16" s="45" t="s">
        <v>44</v>
      </c>
      <c r="K16" s="3">
        <f>G13*(1-calculator!C7)*(1-calculator!C8)</f>
        <v>-5.4532799999999992E-2</v>
      </c>
      <c r="L16" s="3">
        <f>G14*(1-calculator!C7)*(1-calculator!C8)</f>
        <v>-3.2958899999999999E-2</v>
      </c>
      <c r="M16" s="3">
        <f>G13*G14*(1-calculator!C7)*(1-calculator!C8)</f>
        <v>1.2481535429999998E-2</v>
      </c>
      <c r="N16" s="3">
        <f>(G13^2)*(1-calculator!C7)*(1-calculator!C8)</f>
        <v>2.0651571359999996E-2</v>
      </c>
      <c r="O16" s="3">
        <f>(G14^2)*(1-calculator!C7)*(1-calculator!C8)</f>
        <v>7.5436742306249993E-3</v>
      </c>
      <c r="P16" s="5"/>
      <c r="R16" s="5"/>
      <c r="S16" s="16"/>
      <c r="T16" s="68" t="s">
        <v>19</v>
      </c>
      <c r="U16" s="68"/>
      <c r="V16" s="68"/>
      <c r="W16" s="68"/>
      <c r="X16" s="5"/>
    </row>
    <row r="17" spans="3:25" ht="14.4" thickBot="1" x14ac:dyDescent="0.35">
      <c r="C17" s="18"/>
      <c r="D17" s="18"/>
      <c r="E17" s="18"/>
      <c r="F17" s="18"/>
      <c r="G17" s="18"/>
      <c r="H17" s="18"/>
      <c r="J17" s="5"/>
      <c r="K17" s="5"/>
      <c r="L17" s="5"/>
      <c r="M17" s="5"/>
      <c r="N17" s="5"/>
      <c r="O17" s="5"/>
      <c r="P17" s="5"/>
      <c r="R17" s="5"/>
      <c r="S17" s="5"/>
      <c r="T17" s="76" t="s">
        <v>15</v>
      </c>
      <c r="U17" s="76"/>
      <c r="V17" s="76" t="s">
        <v>16</v>
      </c>
      <c r="W17" s="76"/>
      <c r="X17" s="5"/>
    </row>
    <row r="18" spans="3:25" ht="14.4" thickBot="1" x14ac:dyDescent="0.35">
      <c r="C18" s="53"/>
      <c r="D18" s="54"/>
      <c r="E18" s="54"/>
      <c r="F18" s="54"/>
      <c r="G18" s="54"/>
      <c r="H18" s="53"/>
      <c r="R18" s="5"/>
      <c r="S18" s="16"/>
      <c r="T18" s="72">
        <f>SUM(M13:M16)</f>
        <v>2.1475951875E-2</v>
      </c>
      <c r="U18" s="73"/>
      <c r="V18" s="73">
        <f>T18/(SQRT(V14)*SQRT(W14))</f>
        <v>0.99258160507948512</v>
      </c>
      <c r="W18" s="74"/>
      <c r="X18" s="5"/>
    </row>
    <row r="19" spans="3:25" x14ac:dyDescent="0.3">
      <c r="C19" s="55"/>
      <c r="D19" s="52"/>
      <c r="E19" s="52"/>
      <c r="F19" s="52"/>
      <c r="G19" s="52"/>
      <c r="H19" s="53"/>
      <c r="J19" s="18"/>
      <c r="K19" s="18"/>
      <c r="L19" s="18"/>
      <c r="M19" s="18"/>
      <c r="N19" s="18"/>
      <c r="O19" s="18"/>
      <c r="P19" s="18"/>
      <c r="R19" s="51"/>
      <c r="S19" s="32"/>
      <c r="T19" s="49"/>
      <c r="U19" s="49"/>
      <c r="V19" s="51"/>
      <c r="W19" s="51"/>
      <c r="X19" s="26"/>
      <c r="Y19" s="4"/>
    </row>
    <row r="20" spans="3:25" x14ac:dyDescent="0.3">
      <c r="H20" s="20"/>
      <c r="I20" s="12"/>
      <c r="J20" s="53"/>
      <c r="K20" s="53"/>
      <c r="L20" s="53"/>
      <c r="M20" s="53"/>
      <c r="N20" s="53"/>
      <c r="O20" s="48"/>
      <c r="P20" s="53"/>
      <c r="R20" s="56"/>
      <c r="S20" s="53"/>
      <c r="T20" s="50"/>
      <c r="U20" s="50"/>
      <c r="V20" s="53"/>
      <c r="W20" s="53"/>
      <c r="X20" s="53"/>
      <c r="Y20" s="4"/>
    </row>
  </sheetData>
  <mergeCells count="20">
    <mergeCell ref="B5:B8"/>
    <mergeCell ref="J5:J8"/>
    <mergeCell ref="R5:R8"/>
    <mergeCell ref="J2:P2"/>
    <mergeCell ref="R2:X2"/>
    <mergeCell ref="D3:G3"/>
    <mergeCell ref="L3:O3"/>
    <mergeCell ref="T3:W3"/>
    <mergeCell ref="B2:H2"/>
    <mergeCell ref="T18:U18"/>
    <mergeCell ref="V18:W18"/>
    <mergeCell ref="J11:P11"/>
    <mergeCell ref="AA7:AD7"/>
    <mergeCell ref="C11:H11"/>
    <mergeCell ref="R11:X11"/>
    <mergeCell ref="T16:W16"/>
    <mergeCell ref="T12:U12"/>
    <mergeCell ref="V12:X12"/>
    <mergeCell ref="T17:U17"/>
    <mergeCell ref="V17:W17"/>
  </mergeCells>
  <conditionalFormatting sqref="D5:G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O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:W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G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G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20"/>
  <sheetViews>
    <sheetView showGridLines="0" zoomScaleNormal="100" workbookViewId="0">
      <selection activeCell="G26" sqref="G26"/>
    </sheetView>
  </sheetViews>
  <sheetFormatPr defaultRowHeight="13.8" x14ac:dyDescent="0.3"/>
  <cols>
    <col min="1" max="1" width="3.33203125" style="1" customWidth="1"/>
    <col min="2" max="2" width="3.77734375" style="1" bestFit="1" customWidth="1"/>
    <col min="3" max="3" width="4.33203125" style="1" bestFit="1" customWidth="1"/>
    <col min="4" max="4" width="5.44140625" style="1" bestFit="1" customWidth="1"/>
    <col min="5" max="7" width="6" style="1" bestFit="1" customWidth="1"/>
    <col min="8" max="8" width="2.88671875" style="1" customWidth="1"/>
    <col min="9" max="9" width="2.77734375" style="4" customWidth="1"/>
    <col min="10" max="10" width="4.33203125" style="1" bestFit="1" customWidth="1"/>
    <col min="11" max="12" width="6" style="1" bestFit="1" customWidth="1"/>
    <col min="13" max="13" width="9.88671875" style="1" bestFit="1" customWidth="1"/>
    <col min="14" max="15" width="7.44140625" style="1" bestFit="1" customWidth="1"/>
    <col min="16" max="17" width="2.77734375" style="1" customWidth="1"/>
    <col min="18" max="18" width="3.77734375" style="1" bestFit="1" customWidth="1"/>
    <col min="19" max="19" width="5" style="1" customWidth="1"/>
    <col min="20" max="21" width="5.44140625" style="1" bestFit="1" customWidth="1"/>
    <col min="22" max="22" width="6" style="1" bestFit="1" customWidth="1"/>
    <col min="23" max="23" width="6" style="1" customWidth="1"/>
    <col min="24" max="24" width="2.109375" style="1" customWidth="1"/>
    <col min="25" max="25" width="6.5546875" style="1" customWidth="1"/>
    <col min="26" max="26" width="4.44140625" style="1" customWidth="1"/>
    <col min="27" max="27" width="6.5546875" style="1" customWidth="1"/>
    <col min="28" max="28" width="12" style="1" customWidth="1"/>
    <col min="29" max="29" width="9" style="1" customWidth="1"/>
    <col min="30" max="30" width="9.21875" style="1" customWidth="1"/>
    <col min="31" max="16384" width="8.88671875" style="1"/>
  </cols>
  <sheetData>
    <row r="2" spans="2:38" ht="14.4" thickBot="1" x14ac:dyDescent="0.35">
      <c r="B2" s="62" t="s">
        <v>20</v>
      </c>
      <c r="C2" s="62"/>
      <c r="D2" s="62"/>
      <c r="E2" s="62"/>
      <c r="F2" s="62"/>
      <c r="G2" s="62"/>
      <c r="H2" s="62"/>
      <c r="J2" s="62" t="s">
        <v>21</v>
      </c>
      <c r="K2" s="62"/>
      <c r="L2" s="62"/>
      <c r="M2" s="62"/>
      <c r="N2" s="62"/>
      <c r="O2" s="62"/>
      <c r="P2" s="62"/>
      <c r="R2" s="62" t="s">
        <v>54</v>
      </c>
      <c r="S2" s="62"/>
      <c r="T2" s="62"/>
      <c r="U2" s="62"/>
      <c r="V2" s="62"/>
      <c r="W2" s="62"/>
      <c r="X2" s="62"/>
    </row>
    <row r="3" spans="2:38" ht="14.4" thickBot="1" x14ac:dyDescent="0.35">
      <c r="B3" s="5"/>
      <c r="C3" s="6"/>
      <c r="D3" s="70" t="s">
        <v>9</v>
      </c>
      <c r="E3" s="70"/>
      <c r="F3" s="70"/>
      <c r="G3" s="70"/>
      <c r="H3" s="5"/>
      <c r="J3" s="6"/>
      <c r="K3" s="6"/>
      <c r="L3" s="68" t="s">
        <v>9</v>
      </c>
      <c r="M3" s="68"/>
      <c r="N3" s="68"/>
      <c r="O3" s="68"/>
      <c r="P3" s="7"/>
      <c r="R3" s="6"/>
      <c r="S3" s="6"/>
      <c r="T3" s="68" t="s">
        <v>9</v>
      </c>
      <c r="U3" s="68"/>
      <c r="V3" s="68"/>
      <c r="W3" s="68"/>
      <c r="X3" s="5"/>
      <c r="AI3" s="8"/>
      <c r="AJ3" s="8"/>
      <c r="AK3" s="8"/>
      <c r="AL3" s="8"/>
    </row>
    <row r="4" spans="2:38" ht="15.6" thickBot="1" x14ac:dyDescent="0.35">
      <c r="B4" s="5"/>
      <c r="C4" s="6"/>
      <c r="D4" s="45" t="s">
        <v>41</v>
      </c>
      <c r="E4" s="45" t="s">
        <v>42</v>
      </c>
      <c r="F4" s="45" t="s">
        <v>43</v>
      </c>
      <c r="G4" s="45" t="s">
        <v>44</v>
      </c>
      <c r="H4" s="5"/>
      <c r="J4" s="6"/>
      <c r="K4" s="6"/>
      <c r="L4" s="45" t="s">
        <v>41</v>
      </c>
      <c r="M4" s="45" t="s">
        <v>42</v>
      </c>
      <c r="N4" s="45" t="s">
        <v>43</v>
      </c>
      <c r="O4" s="45" t="s">
        <v>44</v>
      </c>
      <c r="P4" s="5"/>
      <c r="R4" s="6"/>
      <c r="S4" s="6"/>
      <c r="T4" s="45" t="s">
        <v>41</v>
      </c>
      <c r="U4" s="45" t="s">
        <v>42</v>
      </c>
      <c r="V4" s="45" t="s">
        <v>43</v>
      </c>
      <c r="W4" s="45" t="s">
        <v>44</v>
      </c>
      <c r="X4" s="5"/>
    </row>
    <row r="5" spans="2:38" ht="14.4" customHeight="1" thickBot="1" x14ac:dyDescent="0.35">
      <c r="B5" s="69" t="s">
        <v>8</v>
      </c>
      <c r="C5" s="45" t="s">
        <v>41</v>
      </c>
      <c r="D5" s="10">
        <f>(calculator!$C$7)*(calculator!$C$8) * (calculator!$D$7)*(calculator!$D$8)</f>
        <v>2.5500000000000002E-3</v>
      </c>
      <c r="E5" s="10">
        <f>(calculator!$C$7)*(calculator!$C$8) * (calculator!$D$7)*(1-calculator!$D$8)</f>
        <v>2.5500000000000002E-3</v>
      </c>
      <c r="F5" s="10">
        <f>(calculator!$C$7)*(calculator!$C$8) * (1-calculator!$D$7)*(calculator!$D$8)</f>
        <v>1.4450000000000001E-2</v>
      </c>
      <c r="G5" s="10">
        <f>(calculator!$C$7)*(calculator!$C$8) * (1-calculator!$D$7)*(1-calculator!$D$8)</f>
        <v>1.4450000000000001E-2</v>
      </c>
      <c r="H5" s="5"/>
      <c r="J5" s="77" t="s">
        <v>8</v>
      </c>
      <c r="K5" s="45" t="s">
        <v>41</v>
      </c>
      <c r="L5" s="10">
        <f>calculator!$I$7</f>
        <v>1</v>
      </c>
      <c r="M5" s="10">
        <f>calculator!$J$7</f>
        <v>1</v>
      </c>
      <c r="N5" s="10">
        <f>calculator!$I$8</f>
        <v>1</v>
      </c>
      <c r="O5" s="10">
        <f>calculator!$J$8</f>
        <v>1</v>
      </c>
      <c r="P5" s="5"/>
      <c r="R5" s="77" t="s">
        <v>8</v>
      </c>
      <c r="S5" s="45" t="s">
        <v>41</v>
      </c>
      <c r="T5" s="10">
        <f>calculator!$I$7</f>
        <v>1</v>
      </c>
      <c r="U5" s="10">
        <f>0.25*calculator!$I$7 + 0.5 * calculator!$J$7 + 0.25 * calculator!$K$7</f>
        <v>0.75</v>
      </c>
      <c r="V5" s="10">
        <f>0.25*calculator!$I$7 + 0.5 * calculator!$I$8 + 0.25 * calculator!$I$9</f>
        <v>0.75</v>
      </c>
      <c r="W5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X5" s="5"/>
    </row>
    <row r="6" spans="2:38" ht="15.6" thickBot="1" x14ac:dyDescent="0.35">
      <c r="B6" s="69"/>
      <c r="C6" s="45" t="s">
        <v>42</v>
      </c>
      <c r="D6" s="10">
        <f>(calculator!$C$7)*(1-calculator!$C$8) * (calculator!$D$7)*(calculator!$D$8)</f>
        <v>6.1199999999999991E-2</v>
      </c>
      <c r="E6" s="10">
        <f>(calculator!$C$7)*(1-calculator!$C$8) * (calculator!$D$7)*(1-calculator!$D$8)</f>
        <v>6.1199999999999991E-2</v>
      </c>
      <c r="F6" s="10">
        <f>(calculator!$C$7)*(1-calculator!$C$8) * (1-calculator!$D$7)*(calculator!$D$8)</f>
        <v>0.34679999999999994</v>
      </c>
      <c r="G6" s="10">
        <f>(calculator!$C$7)*(1-calculator!$C$8) * (1-calculator!$D$7)*(1-calculator!$D$8)</f>
        <v>0.34679999999999994</v>
      </c>
      <c r="H6" s="5"/>
      <c r="J6" s="77"/>
      <c r="K6" s="45" t="s">
        <v>42</v>
      </c>
      <c r="L6" s="10">
        <f>calculator!$J$7</f>
        <v>1</v>
      </c>
      <c r="M6" s="10">
        <f>calculator!$K$7</f>
        <v>0</v>
      </c>
      <c r="N6" s="10">
        <f>calculator!$J$8</f>
        <v>1</v>
      </c>
      <c r="O6" s="10">
        <f>calculator!$K$8</f>
        <v>0</v>
      </c>
      <c r="P6" s="5"/>
      <c r="R6" s="77"/>
      <c r="S6" s="45" t="s">
        <v>42</v>
      </c>
      <c r="T6" s="10">
        <f>0.25*calculator!$I$7 + 0.5 * calculator!$J$7 + 0.25 * calculator!$K$7</f>
        <v>0.75</v>
      </c>
      <c r="U6" s="10">
        <f>calculator!$K$7</f>
        <v>0</v>
      </c>
      <c r="V6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W6" s="10">
        <f>0.25*calculator!$K$7 + 0.5 *calculator!$K$8 + 0.25 * calculator!$K$9</f>
        <v>0</v>
      </c>
      <c r="X6" s="5"/>
    </row>
    <row r="7" spans="2:38" ht="15.6" thickBot="1" x14ac:dyDescent="0.35">
      <c r="B7" s="69"/>
      <c r="C7" s="45" t="s">
        <v>43</v>
      </c>
      <c r="D7" s="10">
        <f>(1-calculator!$C$7)*(calculator!$C$8)*(calculator!$D$7)*(calculator!$D$8)</f>
        <v>4.5000000000000004E-4</v>
      </c>
      <c r="E7" s="10">
        <f>(1-calculator!$C$7)*(calculator!$C$8)*(calculator!$D$7)*(1-calculator!$D$8)</f>
        <v>4.5000000000000004E-4</v>
      </c>
      <c r="F7" s="10">
        <f>(1-calculator!$C$7)*(calculator!$C$8) * (1-calculator!$D$7)*(calculator!$D$8)</f>
        <v>2.5500000000000002E-3</v>
      </c>
      <c r="G7" s="10">
        <f>(1-calculator!$C$7)*(calculator!$C$8) * (1-calculator!$D$7)*(1-calculator!$D$8)</f>
        <v>2.5500000000000002E-3</v>
      </c>
      <c r="H7" s="5"/>
      <c r="J7" s="77"/>
      <c r="K7" s="45" t="s">
        <v>43</v>
      </c>
      <c r="L7" s="10">
        <f>calculator!$I$8</f>
        <v>1</v>
      </c>
      <c r="M7" s="10">
        <f>calculator!$J$8</f>
        <v>1</v>
      </c>
      <c r="N7" s="10">
        <f>calculator!$I$9</f>
        <v>0</v>
      </c>
      <c r="O7" s="10">
        <f>calculator!$J$9</f>
        <v>0</v>
      </c>
      <c r="P7" s="5"/>
      <c r="R7" s="77"/>
      <c r="S7" s="45" t="s">
        <v>43</v>
      </c>
      <c r="T7" s="10">
        <f>0.25*calculator!$I$7 + 0.5 * calculator!$I$8 + 0.25 * calculator!$I$9</f>
        <v>0.75</v>
      </c>
      <c r="U7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V7" s="10">
        <f>calculator!$I$9</f>
        <v>0</v>
      </c>
      <c r="W7" s="10">
        <f>0.25*calculator!$I$9 + 0.5 * calculator!$J$9 + 0.25 * calculator!$K$9</f>
        <v>0</v>
      </c>
      <c r="X7" s="5"/>
      <c r="AA7" s="75"/>
      <c r="AB7" s="75"/>
      <c r="AC7" s="75"/>
      <c r="AD7" s="75"/>
    </row>
    <row r="8" spans="2:38" ht="15.6" thickBot="1" x14ac:dyDescent="0.35">
      <c r="B8" s="69"/>
      <c r="C8" s="45" t="s">
        <v>44</v>
      </c>
      <c r="D8" s="10">
        <f>(1-calculator!$C$7)*(1-calculator!$C$8)*(calculator!$D$7)*(calculator!$D$8)</f>
        <v>1.0800000000000001E-2</v>
      </c>
      <c r="E8" s="10">
        <f>(1-calculator!$C$7)*(1-calculator!$C$8)*(calculator!$D$7)*(1-calculator!$D$8)</f>
        <v>1.0800000000000001E-2</v>
      </c>
      <c r="F8" s="10">
        <f>(1-calculator!$C$7)*(1-calculator!$C$8) * (1-calculator!$D$7)*(calculator!$D$8)</f>
        <v>6.1200000000000004E-2</v>
      </c>
      <c r="G8" s="10">
        <f>(1-calculator!$C$7)*(1-calculator!$C$8) * (1-calculator!$D$7)*(1-calculator!$D$8)</f>
        <v>6.1200000000000004E-2</v>
      </c>
      <c r="H8" s="5"/>
      <c r="J8" s="77"/>
      <c r="K8" s="45" t="s">
        <v>44</v>
      </c>
      <c r="L8" s="10">
        <f>calculator!$J$8</f>
        <v>1</v>
      </c>
      <c r="M8" s="10">
        <f>calculator!K8</f>
        <v>0</v>
      </c>
      <c r="N8" s="10">
        <f>calculator!$J$9</f>
        <v>0</v>
      </c>
      <c r="O8" s="10">
        <f>calculator!$K$9</f>
        <v>0</v>
      </c>
      <c r="P8" s="5"/>
      <c r="R8" s="77"/>
      <c r="S8" s="45" t="s">
        <v>44</v>
      </c>
      <c r="T8" s="10">
        <f>0.25*0.25*calculator!$I$7+0.5*0.25*calculator!$I$8+0.25*0.25*calculator!$I$9+0.25*0.5*calculator!$J$7+0.5*0.5*calculator!$J$8+0.25*0.5*calculator!$J$9+0.25*0.25*calculator!$K$7+0.5*0.25*calculator!$K$8+0.25*0.25*calculator!$K$9</f>
        <v>0.5625</v>
      </c>
      <c r="U8" s="10">
        <f>0.25*calculator!$K$7 + 0.5 *calculator!$K$8 + 0.25 * calculator!$K$9</f>
        <v>0</v>
      </c>
      <c r="V8" s="10">
        <f>0.25*calculator!$I$9 + 0.5 * calculator!$J$9 + 0.25 * calculator!$K$9</f>
        <v>0</v>
      </c>
      <c r="W8" s="10">
        <f>calculator!$K$9</f>
        <v>0</v>
      </c>
      <c r="X8" s="5"/>
    </row>
    <row r="9" spans="2:38" x14ac:dyDescent="0.3">
      <c r="B9" s="5"/>
      <c r="C9" s="5"/>
      <c r="D9" s="5"/>
      <c r="E9" s="5"/>
      <c r="F9" s="5"/>
      <c r="G9" s="5"/>
      <c r="H9" s="11"/>
      <c r="I9" s="12"/>
      <c r="J9" s="5"/>
      <c r="K9" s="5"/>
      <c r="L9" s="5"/>
      <c r="M9" s="5"/>
      <c r="N9" s="5"/>
      <c r="O9" s="5"/>
      <c r="P9" s="5"/>
      <c r="R9" s="5"/>
      <c r="S9" s="5"/>
      <c r="T9" s="5"/>
      <c r="U9" s="5"/>
      <c r="V9" s="5"/>
      <c r="W9" s="5"/>
      <c r="X9" s="5"/>
    </row>
    <row r="10" spans="2:38" x14ac:dyDescent="0.3">
      <c r="I10" s="12"/>
    </row>
    <row r="11" spans="2:38" ht="14.4" thickBot="1" x14ac:dyDescent="0.35">
      <c r="C11" s="62" t="s">
        <v>24</v>
      </c>
      <c r="D11" s="62"/>
      <c r="E11" s="62"/>
      <c r="F11" s="62"/>
      <c r="G11" s="62"/>
      <c r="H11" s="62"/>
      <c r="J11" s="62" t="s">
        <v>22</v>
      </c>
      <c r="K11" s="62"/>
      <c r="L11" s="62"/>
      <c r="M11" s="62"/>
      <c r="N11" s="62"/>
      <c r="O11" s="62"/>
      <c r="P11" s="62"/>
      <c r="Q11" s="8"/>
      <c r="R11" s="62" t="s">
        <v>17</v>
      </c>
      <c r="S11" s="62"/>
      <c r="T11" s="62"/>
      <c r="U11" s="62"/>
      <c r="V11" s="62"/>
      <c r="W11" s="62"/>
      <c r="X11" s="62"/>
    </row>
    <row r="12" spans="2:38" ht="15.6" thickBot="1" x14ac:dyDescent="0.35">
      <c r="C12" s="5"/>
      <c r="D12" s="45" t="s">
        <v>41</v>
      </c>
      <c r="E12" s="45" t="s">
        <v>42</v>
      </c>
      <c r="F12" s="45" t="s">
        <v>43</v>
      </c>
      <c r="G12" s="45" t="s">
        <v>44</v>
      </c>
      <c r="H12" s="5"/>
      <c r="J12" s="7"/>
      <c r="K12" s="13" t="s">
        <v>10</v>
      </c>
      <c r="L12" s="13" t="s">
        <v>51</v>
      </c>
      <c r="M12" s="13" t="s">
        <v>53</v>
      </c>
      <c r="N12" s="13" t="s">
        <v>12</v>
      </c>
      <c r="O12" s="13" t="s">
        <v>52</v>
      </c>
      <c r="P12" s="5"/>
      <c r="R12" s="5"/>
      <c r="S12" s="5"/>
      <c r="T12" s="76" t="s">
        <v>2</v>
      </c>
      <c r="U12" s="76"/>
      <c r="V12" s="76" t="s">
        <v>14</v>
      </c>
      <c r="W12" s="76"/>
      <c r="X12" s="76"/>
    </row>
    <row r="13" spans="2:38" ht="15.6" thickBot="1" x14ac:dyDescent="0.35">
      <c r="C13" s="15" t="s">
        <v>4</v>
      </c>
      <c r="D13" s="10">
        <f>(D5*L5 + D6*L6 + D7 *L7 + D8*L8)/((calculator!D7) * (calculator!D8)) - hybrids!T23</f>
        <v>0.54630000000000001</v>
      </c>
      <c r="E13" s="10">
        <f>(E5*M5 + E6*M6 + E7 *M7 + E8*M8)/((calculator!D7) * (1-calculator!D8)) - hybrids!T23</f>
        <v>-0.41369999999999996</v>
      </c>
      <c r="F13" s="10">
        <f>(F5*N5 + F6*N6 + F7 *N7 + F8*N8)/((1-calculator!D7) * (calculator!D8)) - hybrids!T23</f>
        <v>0.39630000000000004</v>
      </c>
      <c r="G13" s="10">
        <f>(G5*O5 + G6*O6 + G7 *O7 + G8*O8)/((1-calculator!D7) * (1-calculator!D8)) - hybrids!T23</f>
        <v>-0.41969999999999996</v>
      </c>
      <c r="H13" s="5"/>
      <c r="J13" s="45" t="s">
        <v>41</v>
      </c>
      <c r="K13" s="3">
        <f>D13*calculator!D7*calculator!D8</f>
        <v>4.0972500000000002E-2</v>
      </c>
      <c r="L13" s="3">
        <f>D14*calculator!D7*calculator!D8</f>
        <v>3.4532343749999993E-2</v>
      </c>
      <c r="M13" s="3">
        <f>D13*D14*calculator!D7*calculator!D8</f>
        <v>1.8865019390624998E-2</v>
      </c>
      <c r="N13" s="3">
        <f>(D13^2)*calculator!D7*calculator!D8</f>
        <v>2.2383276749999997E-2</v>
      </c>
      <c r="O13" s="3">
        <f>(D14^2)*calculator!D7*calculator!D8</f>
        <v>1.5899770198242184E-2</v>
      </c>
      <c r="P13" s="5"/>
      <c r="R13" s="5"/>
      <c r="S13" s="5"/>
      <c r="T13" s="13" t="s">
        <v>4</v>
      </c>
      <c r="U13" s="13" t="s">
        <v>47</v>
      </c>
      <c r="V13" s="13" t="s">
        <v>4</v>
      </c>
      <c r="W13" s="13" t="s">
        <v>47</v>
      </c>
      <c r="X13" s="5"/>
    </row>
    <row r="14" spans="2:38" ht="15.6" thickBot="1" x14ac:dyDescent="0.35">
      <c r="C14" s="15" t="s">
        <v>47</v>
      </c>
      <c r="D14" s="10">
        <f>(D5*T5 + D6*T6 + D7 *T7 + D8*T8)/((calculator!D7) * (calculator!D8)) - hybrids!U23</f>
        <v>0.46043124999999996</v>
      </c>
      <c r="E14" s="10">
        <f>(E5*U5 + E6*U6 + E7 *U7 + E8*U8)/((calculator!D7) * (1-calculator!D8)) - hybrids!U23</f>
        <v>-0.24219374999999996</v>
      </c>
      <c r="F14" s="10">
        <f>(F5*V5 + F6*V6 + F7 *V7 + F8*V8)/((1-calculator!D7) * (calculator!D8)) - hybrids!U23</f>
        <v>0.21343124999999996</v>
      </c>
      <c r="G14" s="10">
        <f>(G5*W5 + G6*W6 + G7 *W7 + G8*W8)/((1-calculator!D7) * (1-calculator!D8)) - hybrids!U23</f>
        <v>-0.25194374999999997</v>
      </c>
      <c r="H14" s="5"/>
      <c r="J14" s="45" t="s">
        <v>42</v>
      </c>
      <c r="K14" s="3">
        <f>E13*calculator!D7*(1-calculator!D8)</f>
        <v>-3.1027499999999996E-2</v>
      </c>
      <c r="L14" s="3">
        <f>E14*calculator!D7*(1-calculator!D8)</f>
        <v>-1.8164531249999998E-2</v>
      </c>
      <c r="M14" s="3">
        <f>E13*E14*calculator!D7*(1-calculator!D8)</f>
        <v>7.5146665781249972E-3</v>
      </c>
      <c r="N14" s="3">
        <f>(E13^2)*calculator!D7*(1-calculator!D8)</f>
        <v>1.2836076749999996E-2</v>
      </c>
      <c r="O14" s="3">
        <f>(E14^2)*calculator!D7*(1-calculator!D8)</f>
        <v>4.3993359404296854E-3</v>
      </c>
      <c r="P14" s="5"/>
      <c r="R14" s="5"/>
      <c r="S14" s="13" t="s">
        <v>13</v>
      </c>
      <c r="T14" s="3">
        <f>SUM(K13:K16)</f>
        <v>0</v>
      </c>
      <c r="U14" s="3">
        <f>SUM(L13:L16)</f>
        <v>0</v>
      </c>
      <c r="V14" s="3">
        <f>SUM(N13:N16)</f>
        <v>0.17683010999999998</v>
      </c>
      <c r="W14" s="3">
        <f>SUM(O13:O16)</f>
        <v>6.6636240585937478E-2</v>
      </c>
      <c r="X14" s="5"/>
    </row>
    <row r="15" spans="2:38" ht="15.6" thickBot="1" x14ac:dyDescent="0.35">
      <c r="C15" s="5"/>
      <c r="D15" s="5"/>
      <c r="E15" s="5"/>
      <c r="F15" s="5"/>
      <c r="G15" s="5"/>
      <c r="H15" s="5"/>
      <c r="I15" s="2"/>
      <c r="J15" s="45" t="s">
        <v>43</v>
      </c>
      <c r="K15" s="3">
        <f>F13*(1-calculator!D7)*calculator!D8</f>
        <v>0.16842750000000001</v>
      </c>
      <c r="L15" s="3">
        <f>F14*(1-calculator!D7)*calculator!D8</f>
        <v>9.0708281249999981E-2</v>
      </c>
      <c r="M15" s="3">
        <f>F13*F14*(1-calculator!D7)*calculator!D8</f>
        <v>3.5947691859374992E-2</v>
      </c>
      <c r="N15" s="3">
        <f>(F13^2)*(1-calculator!D7)*calculator!D8</f>
        <v>6.6747818250000007E-2</v>
      </c>
      <c r="O15" s="3">
        <f>(F14^2)*(1-calculator!D7)*calculator!D8</f>
        <v>1.9359981852539055E-2</v>
      </c>
      <c r="P15" s="5"/>
      <c r="R15" s="5"/>
      <c r="S15" s="13"/>
      <c r="T15" s="5"/>
      <c r="U15" s="5"/>
      <c r="V15" s="5"/>
      <c r="W15" s="5"/>
      <c r="X15" s="5"/>
    </row>
    <row r="16" spans="2:38" ht="15.6" thickBot="1" x14ac:dyDescent="0.35">
      <c r="C16" s="53"/>
      <c r="D16" s="53"/>
      <c r="E16" s="53"/>
      <c r="F16" s="53"/>
      <c r="G16" s="53"/>
      <c r="H16" s="53"/>
      <c r="J16" s="45" t="s">
        <v>44</v>
      </c>
      <c r="K16" s="3">
        <f>G13*(1-calculator!D7)*(1-calculator!D8)</f>
        <v>-0.17837249999999999</v>
      </c>
      <c r="L16" s="3">
        <f>G14*(1-calculator!D7)*(1-calculator!D8)</f>
        <v>-0.10707609374999998</v>
      </c>
      <c r="M16" s="3">
        <f>G13*G14*(1-calculator!D7)*(1-calculator!D8)</f>
        <v>4.4939836546874987E-2</v>
      </c>
      <c r="N16" s="3">
        <f>(G13^2)*(1-calculator!D7)*(1-calculator!D8)</f>
        <v>7.4862938249999983E-2</v>
      </c>
      <c r="O16" s="3">
        <f>(G14^2)*(1-calculator!D7)*(1-calculator!D8)</f>
        <v>2.6977152594726553E-2</v>
      </c>
      <c r="P16" s="5"/>
      <c r="R16" s="5"/>
      <c r="S16" s="16"/>
      <c r="T16" s="68" t="s">
        <v>19</v>
      </c>
      <c r="U16" s="68"/>
      <c r="V16" s="68"/>
      <c r="W16" s="68"/>
      <c r="X16" s="5"/>
    </row>
    <row r="17" spans="3:24" ht="14.4" thickBot="1" x14ac:dyDescent="0.35">
      <c r="C17" s="80"/>
      <c r="D17" s="80"/>
      <c r="E17" s="80"/>
      <c r="F17" s="80"/>
      <c r="G17" s="80"/>
      <c r="H17" s="80"/>
      <c r="J17" s="5"/>
      <c r="K17" s="5"/>
      <c r="L17" s="5"/>
      <c r="M17" s="5"/>
      <c r="N17" s="5"/>
      <c r="O17" s="5"/>
      <c r="P17" s="5"/>
      <c r="R17" s="5"/>
      <c r="S17" s="5"/>
      <c r="T17" s="9" t="s">
        <v>15</v>
      </c>
      <c r="U17" s="9"/>
      <c r="V17" s="9" t="s">
        <v>16</v>
      </c>
      <c r="W17" s="9"/>
      <c r="X17" s="5"/>
    </row>
    <row r="18" spans="3:24" ht="14.4" thickBot="1" x14ac:dyDescent="0.35">
      <c r="C18" s="53"/>
      <c r="D18" s="54"/>
      <c r="E18" s="54"/>
      <c r="F18" s="54"/>
      <c r="G18" s="54"/>
      <c r="H18" s="53"/>
      <c r="R18" s="5"/>
      <c r="S18" s="16"/>
      <c r="T18" s="78">
        <f>SUM(M13:M16)</f>
        <v>0.10726721437499998</v>
      </c>
      <c r="U18" s="79"/>
      <c r="V18" s="78">
        <f>T18/(SQRT(V14)*SQRT(W14))</f>
        <v>0.98817451729874339</v>
      </c>
      <c r="W18" s="79"/>
      <c r="X18" s="5"/>
    </row>
    <row r="19" spans="3:24" x14ac:dyDescent="0.3">
      <c r="C19" s="53"/>
      <c r="D19" s="53"/>
      <c r="E19" s="53"/>
      <c r="F19" s="53"/>
      <c r="G19" s="53"/>
      <c r="H19" s="56"/>
      <c r="I19" s="12"/>
      <c r="O19" s="48"/>
      <c r="R19" s="11"/>
      <c r="S19" s="5"/>
      <c r="T19" s="38"/>
      <c r="U19" s="38"/>
      <c r="V19" s="5"/>
      <c r="W19" s="5"/>
      <c r="X19" s="5"/>
    </row>
    <row r="20" spans="3:24" x14ac:dyDescent="0.3">
      <c r="C20" s="53"/>
      <c r="D20" s="53"/>
      <c r="E20" s="53"/>
      <c r="F20" s="53"/>
      <c r="G20" s="53"/>
      <c r="H20" s="53"/>
    </row>
  </sheetData>
  <mergeCells count="19">
    <mergeCell ref="B2:H2"/>
    <mergeCell ref="J2:P2"/>
    <mergeCell ref="R2:X2"/>
    <mergeCell ref="D3:G3"/>
    <mergeCell ref="L3:O3"/>
    <mergeCell ref="T3:W3"/>
    <mergeCell ref="AA7:AD7"/>
    <mergeCell ref="C17:H17"/>
    <mergeCell ref="J11:P11"/>
    <mergeCell ref="R11:X11"/>
    <mergeCell ref="T12:U12"/>
    <mergeCell ref="V12:X12"/>
    <mergeCell ref="C11:H11"/>
    <mergeCell ref="T16:W16"/>
    <mergeCell ref="T18:U18"/>
    <mergeCell ref="V18:W18"/>
    <mergeCell ref="B5:B8"/>
    <mergeCell ref="J5:J8"/>
    <mergeCell ref="R5:R8"/>
  </mergeCells>
  <conditionalFormatting sqref="D5:G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O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:W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G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G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</vt:lpstr>
      <vt:lpstr>hybrids</vt:lpstr>
      <vt:lpstr>males</vt:lpstr>
      <vt:lpstr>females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Technow, Frank</dc:creator>
  <cp:lastModifiedBy>Technow, Frank</cp:lastModifiedBy>
  <dcterms:created xsi:type="dcterms:W3CDTF">2018-08-29T20:31:19Z</dcterms:created>
  <dcterms:modified xsi:type="dcterms:W3CDTF">2018-12-19T21:25:49Z</dcterms:modified>
</cp:coreProperties>
</file>