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5390" windowHeight="16350" activeTab="3"/>
  </bookViews>
  <sheets>
    <sheet name="S3a" sheetId="1" r:id="rId1"/>
    <sheet name="S3b" sheetId="2" r:id="rId2"/>
    <sheet name="S3c" sheetId="5" r:id="rId3"/>
    <sheet name="S3d" sheetId="6" r:id="rId4"/>
  </sheets>
  <definedNames>
    <definedName name="_Hlk482883393" localSheetId="1">S3b!$A$40</definedName>
    <definedName name="_Hlk482883594" localSheetId="1">S3b!$D$28</definedName>
    <definedName name="_Hlk482883617" localSheetId="1">S3b!$A$28</definedName>
    <definedName name="_Hlk482883644" localSheetId="1">S3b!$A$52</definedName>
    <definedName name="_Hlk482883707" localSheetId="1">S3b!$D$26</definedName>
    <definedName name="_Hlk482883731" localSheetId="1">S3b!$A$26</definedName>
    <definedName name="_Hlk482883764" localSheetId="1">S3b!$D$30</definedName>
    <definedName name="_Hlk482883785" localSheetId="1">S3b!$A$30</definedName>
    <definedName name="_Hlk482883809" localSheetId="1">S3b!$A$50</definedName>
    <definedName name="_Hlk482883870" localSheetId="1">S3b!$A$38</definedName>
    <definedName name="_Hlk482883981" localSheetId="1">S3b!$D$35</definedName>
    <definedName name="_Hlk482885402" localSheetId="1">S3b!$D$45</definedName>
    <definedName name="_Hlk482886512" localSheetId="1">S3b!$H$59</definedName>
    <definedName name="_Hlk482917296" localSheetId="2">S3c!$A$57</definedName>
    <definedName name="_Hlk482917316" localSheetId="2">S3c!$A$59</definedName>
    <definedName name="_Hlk482917754" localSheetId="2">S3c!$A$70</definedName>
    <definedName name="_Hlk482917776" localSheetId="2">S3c!$A$76</definedName>
    <definedName name="_Hlk482918977" localSheetId="2">S3c!$A$61</definedName>
    <definedName name="_Hlk482918998" localSheetId="2">S3c!$A$66</definedName>
    <definedName name="_Hlk482919019" localSheetId="2">S3c!$A$68</definedName>
    <definedName name="_Hlk482919037" localSheetId="2">S3c!$A$80</definedName>
    <definedName name="_Hlk482919110" localSheetId="2">S3c!$A$89</definedName>
    <definedName name="_Hlk482919130" localSheetId="2">S3c!$A$95</definedName>
    <definedName name="_Hlk482919149" localSheetId="2">S3c!$A$93</definedName>
    <definedName name="_Hlk482922486" localSheetId="2">S3c!$D$99</definedName>
    <definedName name="_Hlk482922519" localSheetId="2">S3c!$H$99</definedName>
    <definedName name="_Hlk482922583" localSheetId="2">S3c!$H$103</definedName>
    <definedName name="_Hlk484135281" localSheetId="2">S3c!$A$99</definedName>
  </definedNames>
  <calcPr calcId="145621"/>
</workbook>
</file>

<file path=xl/calcChain.xml><?xml version="1.0" encoding="utf-8"?>
<calcChain xmlns="http://schemas.openxmlformats.org/spreadsheetml/2006/main">
  <c r="BV68" i="6" l="1"/>
  <c r="BU68" i="6"/>
  <c r="BS68" i="6"/>
  <c r="BR68" i="6"/>
  <c r="BQ68" i="6"/>
  <c r="BP68" i="6"/>
  <c r="BO68" i="6"/>
  <c r="BN68" i="6"/>
  <c r="BM68" i="6"/>
  <c r="BL68" i="6"/>
  <c r="BK68" i="6"/>
  <c r="BJ68" i="6"/>
  <c r="BI68" i="6"/>
  <c r="BH68" i="6"/>
  <c r="BG68" i="6"/>
  <c r="BF68" i="6"/>
  <c r="BE68" i="6"/>
  <c r="BD68" i="6"/>
  <c r="BC68" i="6"/>
  <c r="BZ51" i="5" l="1"/>
  <c r="BY51" i="5"/>
  <c r="BX51" i="5"/>
  <c r="BW51" i="5"/>
  <c r="BV51" i="5"/>
  <c r="BU51" i="5"/>
  <c r="BT51" i="5"/>
  <c r="BS51" i="5"/>
  <c r="BR51" i="5"/>
  <c r="BQ51" i="5"/>
  <c r="BP51" i="5"/>
  <c r="BO51" i="5"/>
  <c r="BN51" i="5"/>
  <c r="BM51" i="5"/>
  <c r="BL51" i="5"/>
  <c r="BK51" i="5"/>
  <c r="BJ51" i="5"/>
  <c r="BI51" i="5"/>
  <c r="CG51" i="5" s="1"/>
  <c r="BH51" i="5"/>
  <c r="CF51" i="5" s="1"/>
  <c r="BG51" i="5"/>
  <c r="CE51" i="5" s="1"/>
  <c r="BF51" i="5"/>
  <c r="CD51" i="5" s="1"/>
  <c r="BE51" i="5"/>
  <c r="CC51" i="5" s="1"/>
  <c r="BD51" i="5"/>
  <c r="CB51" i="5" s="1"/>
  <c r="BC51" i="5"/>
  <c r="CA51" i="5" s="1"/>
  <c r="CI51" i="5" l="1"/>
  <c r="CI50" i="5"/>
  <c r="BC50" i="5"/>
  <c r="CI9" i="5"/>
  <c r="CH50" i="5"/>
  <c r="CG50" i="5"/>
  <c r="CF50" i="5"/>
  <c r="CE50" i="5"/>
  <c r="CD50" i="5"/>
  <c r="CC50" i="5"/>
  <c r="CB50" i="5"/>
  <c r="CA50" i="5"/>
  <c r="BZ50" i="5"/>
  <c r="BY50" i="5"/>
  <c r="BX50" i="5"/>
  <c r="BW50" i="5"/>
  <c r="BV50" i="5"/>
  <c r="BU50" i="5"/>
  <c r="BT50" i="5"/>
  <c r="BS50" i="5"/>
  <c r="BR50" i="5"/>
  <c r="BQ50" i="5"/>
  <c r="BP50" i="5"/>
  <c r="BO50" i="5"/>
  <c r="BN50" i="5"/>
  <c r="BM50" i="5"/>
  <c r="BL50" i="5"/>
  <c r="BK50" i="5"/>
  <c r="BJ50" i="5"/>
  <c r="BI50" i="5"/>
  <c r="BH50" i="5"/>
  <c r="BG50" i="5"/>
  <c r="BF50" i="5"/>
  <c r="BE50" i="5"/>
  <c r="BD50" i="5"/>
  <c r="BZ67" i="6" l="1"/>
  <c r="BY67" i="6"/>
  <c r="BX67" i="6"/>
  <c r="BW67" i="6"/>
  <c r="BV67" i="6"/>
  <c r="BU67" i="6"/>
  <c r="BT67" i="6"/>
  <c r="BS67" i="6"/>
  <c r="BR67" i="6"/>
  <c r="BQ67" i="6"/>
  <c r="BP67" i="6"/>
  <c r="BO67" i="6"/>
  <c r="BN67" i="6"/>
  <c r="BM67" i="6"/>
  <c r="BL67" i="6"/>
  <c r="BK67" i="6"/>
  <c r="BJ67" i="6"/>
  <c r="BI67" i="6"/>
  <c r="BH67" i="6"/>
  <c r="BG67" i="6"/>
  <c r="BF67" i="6"/>
  <c r="BE67" i="6"/>
  <c r="CC67" i="6" s="1"/>
  <c r="BD67" i="6"/>
  <c r="CB67" i="6" s="1"/>
  <c r="BC67" i="6"/>
  <c r="CA67" i="6" s="1"/>
  <c r="CD67" i="6" s="1"/>
  <c r="BC48" i="5" l="1"/>
  <c r="BZ49" i="5" l="1"/>
  <c r="BY49" i="5"/>
  <c r="BX49" i="5"/>
  <c r="BW49" i="5"/>
  <c r="BV49" i="5"/>
  <c r="BU49" i="5"/>
  <c r="BT49" i="5"/>
  <c r="BS49" i="5"/>
  <c r="BR49" i="5"/>
  <c r="BQ49" i="5"/>
  <c r="BP49" i="5"/>
  <c r="BO49" i="5"/>
  <c r="BN49" i="5"/>
  <c r="BM49" i="5"/>
  <c r="BL49" i="5"/>
  <c r="BK49" i="5"/>
  <c r="BJ49" i="5"/>
  <c r="CH49" i="5" s="1"/>
  <c r="BI49" i="5"/>
  <c r="CG49" i="5" s="1"/>
  <c r="BH49" i="5"/>
  <c r="CF49" i="5" s="1"/>
  <c r="BG49" i="5"/>
  <c r="BF49" i="5"/>
  <c r="CD49" i="5" s="1"/>
  <c r="BE49" i="5"/>
  <c r="BD49" i="5"/>
  <c r="CB49" i="5" s="1"/>
  <c r="BC49" i="5"/>
  <c r="BZ48" i="5"/>
  <c r="BY48" i="5"/>
  <c r="BX48" i="5"/>
  <c r="BW48" i="5"/>
  <c r="BV48" i="5"/>
  <c r="BU48" i="5"/>
  <c r="BT48" i="5"/>
  <c r="BS48" i="5"/>
  <c r="BR48" i="5"/>
  <c r="BQ48" i="5"/>
  <c r="BP48" i="5"/>
  <c r="BO48" i="5"/>
  <c r="BN48" i="5"/>
  <c r="BM48" i="5"/>
  <c r="BL48" i="5"/>
  <c r="BK48" i="5"/>
  <c r="CA48" i="5" s="1"/>
  <c r="BJ48" i="5"/>
  <c r="CH48" i="5" s="1"/>
  <c r="BI48" i="5"/>
  <c r="CG48" i="5" s="1"/>
  <c r="BH48" i="5"/>
  <c r="CF48" i="5" s="1"/>
  <c r="BG48" i="5"/>
  <c r="CE48" i="5" s="1"/>
  <c r="BF48" i="5"/>
  <c r="BE48" i="5"/>
  <c r="CC48" i="5" s="1"/>
  <c r="BD48" i="5"/>
  <c r="BZ47" i="5"/>
  <c r="BY47" i="5"/>
  <c r="BX47" i="5"/>
  <c r="BW47" i="5"/>
  <c r="BV47" i="5"/>
  <c r="BU47" i="5"/>
  <c r="BT47" i="5"/>
  <c r="BS47" i="5"/>
  <c r="BR47" i="5"/>
  <c r="BQ47" i="5"/>
  <c r="BP47" i="5"/>
  <c r="BO47" i="5"/>
  <c r="BN47" i="5"/>
  <c r="BM47" i="5"/>
  <c r="BL47" i="5"/>
  <c r="BK47" i="5"/>
  <c r="BJ47" i="5"/>
  <c r="CH47" i="5" s="1"/>
  <c r="BI47" i="5"/>
  <c r="CG47" i="5" s="1"/>
  <c r="BH47" i="5"/>
  <c r="CF47" i="5" s="1"/>
  <c r="BG47" i="5"/>
  <c r="CE47" i="5" s="1"/>
  <c r="BF47" i="5"/>
  <c r="CD47" i="5" s="1"/>
  <c r="BE47" i="5"/>
  <c r="CC47" i="5" s="1"/>
  <c r="BD47" i="5"/>
  <c r="CB47" i="5" s="1"/>
  <c r="BC47" i="5"/>
  <c r="CA47" i="5" s="1"/>
  <c r="BZ46" i="5"/>
  <c r="BY46" i="5"/>
  <c r="BX46" i="5"/>
  <c r="BW46" i="5"/>
  <c r="BV46" i="5"/>
  <c r="BU46" i="5"/>
  <c r="BT46" i="5"/>
  <c r="BS46" i="5"/>
  <c r="BR46" i="5"/>
  <c r="BQ46" i="5"/>
  <c r="BP46" i="5"/>
  <c r="BO46" i="5"/>
  <c r="BN46" i="5"/>
  <c r="BM46" i="5"/>
  <c r="BL46" i="5"/>
  <c r="BK46" i="5"/>
  <c r="BJ46" i="5"/>
  <c r="CH46" i="5" s="1"/>
  <c r="BI46" i="5"/>
  <c r="CG46" i="5" s="1"/>
  <c r="BH46" i="5"/>
  <c r="CF46" i="5" s="1"/>
  <c r="BG46" i="5"/>
  <c r="CE46" i="5" s="1"/>
  <c r="BF46" i="5"/>
  <c r="CD46" i="5" s="1"/>
  <c r="BE46" i="5"/>
  <c r="CC46" i="5" s="1"/>
  <c r="BD46" i="5"/>
  <c r="CB46" i="5" s="1"/>
  <c r="BC46" i="5"/>
  <c r="CA46" i="5" s="1"/>
  <c r="BZ45" i="5"/>
  <c r="BY45" i="5"/>
  <c r="BX45" i="5"/>
  <c r="BW45" i="5"/>
  <c r="BV45" i="5"/>
  <c r="BU45" i="5"/>
  <c r="BT45" i="5"/>
  <c r="BS45" i="5"/>
  <c r="BR45" i="5"/>
  <c r="BQ45" i="5"/>
  <c r="BP45" i="5"/>
  <c r="BO45" i="5"/>
  <c r="BN45" i="5"/>
  <c r="BM45" i="5"/>
  <c r="BL45" i="5"/>
  <c r="BK45" i="5"/>
  <c r="BJ45" i="5"/>
  <c r="CH45" i="5" s="1"/>
  <c r="BI45" i="5"/>
  <c r="CG45" i="5" s="1"/>
  <c r="BH45" i="5"/>
  <c r="CF45" i="5" s="1"/>
  <c r="BG45" i="5"/>
  <c r="CE45" i="5" s="1"/>
  <c r="BF45" i="5"/>
  <c r="BE45" i="5"/>
  <c r="CC45" i="5" s="1"/>
  <c r="BD45" i="5"/>
  <c r="BC45" i="5"/>
  <c r="CA45" i="5" s="1"/>
  <c r="BZ44" i="5"/>
  <c r="BY44" i="5"/>
  <c r="BX44" i="5"/>
  <c r="BW44" i="5"/>
  <c r="BV44" i="5"/>
  <c r="BU44" i="5"/>
  <c r="BT44" i="5"/>
  <c r="BS44" i="5"/>
  <c r="BR44" i="5"/>
  <c r="BQ44" i="5"/>
  <c r="BP44" i="5"/>
  <c r="BO44" i="5"/>
  <c r="BN44" i="5"/>
  <c r="BM44" i="5"/>
  <c r="BL44" i="5"/>
  <c r="BK44" i="5"/>
  <c r="BJ44" i="5"/>
  <c r="CH44" i="5" s="1"/>
  <c r="BI44" i="5"/>
  <c r="CG44" i="5" s="1"/>
  <c r="BH44" i="5"/>
  <c r="CF44" i="5" s="1"/>
  <c r="BG44" i="5"/>
  <c r="CE44" i="5" s="1"/>
  <c r="BF44" i="5"/>
  <c r="CD44" i="5" s="1"/>
  <c r="BE44" i="5"/>
  <c r="CC44" i="5" s="1"/>
  <c r="BD44" i="5"/>
  <c r="BC44" i="5"/>
  <c r="CA44" i="5" s="1"/>
  <c r="CI48" i="5" l="1"/>
  <c r="CE49" i="5"/>
  <c r="CI49" i="5" s="1"/>
  <c r="CI44" i="5"/>
  <c r="CI45" i="5"/>
  <c r="CI46" i="5"/>
  <c r="CI47" i="5"/>
  <c r="BC43" i="5" l="1"/>
  <c r="BC42" i="5"/>
  <c r="BC41" i="5"/>
  <c r="BC40" i="5"/>
  <c r="BC39" i="5"/>
  <c r="BC38" i="5"/>
  <c r="BC37" i="5"/>
  <c r="BC36" i="5"/>
  <c r="BC35" i="5"/>
  <c r="BC34" i="5"/>
  <c r="BC33" i="5"/>
  <c r="BC32" i="5"/>
  <c r="BC31" i="5"/>
  <c r="BC30" i="5"/>
  <c r="BC29" i="5"/>
  <c r="BC28" i="5"/>
  <c r="BC27" i="5"/>
  <c r="BC26" i="5"/>
  <c r="BC25" i="5"/>
  <c r="BC24" i="5"/>
  <c r="BC23" i="5"/>
  <c r="BC22" i="5"/>
  <c r="BC21" i="5"/>
  <c r="BC20" i="5"/>
  <c r="BC19" i="5"/>
  <c r="BC18" i="5"/>
  <c r="BC17" i="5"/>
  <c r="BC16" i="5"/>
  <c r="BC15" i="5"/>
  <c r="BC14" i="5"/>
  <c r="BC13" i="5"/>
  <c r="BC12" i="5"/>
  <c r="BC11" i="5"/>
  <c r="BC10" i="5"/>
  <c r="BC9" i="5"/>
  <c r="BC8" i="5"/>
  <c r="BZ43" i="5"/>
  <c r="BY43" i="5"/>
  <c r="BX43" i="5"/>
  <c r="BW43" i="5"/>
  <c r="BV43" i="5"/>
  <c r="BU43" i="5"/>
  <c r="BT43" i="5"/>
  <c r="BS43" i="5"/>
  <c r="BR43" i="5"/>
  <c r="BQ43" i="5"/>
  <c r="BP43" i="5"/>
  <c r="BO43" i="5"/>
  <c r="BN43" i="5"/>
  <c r="BM43" i="5"/>
  <c r="BL43" i="5"/>
  <c r="BK43" i="5"/>
  <c r="BJ43" i="5"/>
  <c r="BI43" i="5"/>
  <c r="BH43" i="5"/>
  <c r="BG43" i="5"/>
  <c r="BF43" i="5"/>
  <c r="BE43" i="5"/>
  <c r="BD43" i="5"/>
  <c r="BZ42" i="5"/>
  <c r="BY42" i="5"/>
  <c r="BX42" i="5"/>
  <c r="BW42" i="5"/>
  <c r="BV42" i="5"/>
  <c r="BU42" i="5"/>
  <c r="BT42" i="5"/>
  <c r="BS42" i="5"/>
  <c r="BR42" i="5"/>
  <c r="BQ42" i="5"/>
  <c r="BP42" i="5"/>
  <c r="BO42" i="5"/>
  <c r="BN42" i="5"/>
  <c r="BM42" i="5"/>
  <c r="BL42" i="5"/>
  <c r="BK42" i="5"/>
  <c r="BJ42" i="5"/>
  <c r="BI42" i="5"/>
  <c r="BH42" i="5"/>
  <c r="BG42" i="5"/>
  <c r="BF42" i="5"/>
  <c r="BE42" i="5"/>
  <c r="BD42" i="5"/>
  <c r="BZ41" i="5"/>
  <c r="BY41" i="5"/>
  <c r="BX41" i="5"/>
  <c r="BW41" i="5"/>
  <c r="BV41" i="5"/>
  <c r="BU41" i="5"/>
  <c r="BT41" i="5"/>
  <c r="BS41" i="5"/>
  <c r="BR41" i="5"/>
  <c r="BQ41" i="5"/>
  <c r="BP41" i="5"/>
  <c r="BO41" i="5"/>
  <c r="BN41" i="5"/>
  <c r="BM41" i="5"/>
  <c r="BL41" i="5"/>
  <c r="BK41" i="5"/>
  <c r="BJ41" i="5"/>
  <c r="CH41" i="5" s="1"/>
  <c r="BI41" i="5"/>
  <c r="CG41" i="5" s="1"/>
  <c r="BH41" i="5"/>
  <c r="BG41" i="5"/>
  <c r="BF41" i="5"/>
  <c r="BE41" i="5"/>
  <c r="BD41" i="5"/>
  <c r="BZ40" i="5"/>
  <c r="BY40" i="5"/>
  <c r="BX40" i="5"/>
  <c r="BW40" i="5"/>
  <c r="BV40" i="5"/>
  <c r="BU40" i="5"/>
  <c r="BT40" i="5"/>
  <c r="BS40" i="5"/>
  <c r="BR40" i="5"/>
  <c r="BQ40" i="5"/>
  <c r="BP40" i="5"/>
  <c r="BO40" i="5"/>
  <c r="BN40" i="5"/>
  <c r="BM40" i="5"/>
  <c r="BL40" i="5"/>
  <c r="BK40" i="5"/>
  <c r="BJ40" i="5"/>
  <c r="BI40" i="5"/>
  <c r="BH40" i="5"/>
  <c r="BG40" i="5"/>
  <c r="BF40" i="5"/>
  <c r="BE40" i="5"/>
  <c r="BD40" i="5"/>
  <c r="BZ39" i="5"/>
  <c r="BY39" i="5"/>
  <c r="BX39" i="5"/>
  <c r="BW39" i="5"/>
  <c r="BV39" i="5"/>
  <c r="BU39" i="5"/>
  <c r="BT39" i="5"/>
  <c r="BS39" i="5"/>
  <c r="BR39" i="5"/>
  <c r="BQ39" i="5"/>
  <c r="BP39" i="5"/>
  <c r="BO39" i="5"/>
  <c r="BN39" i="5"/>
  <c r="BM39" i="5"/>
  <c r="BL39" i="5"/>
  <c r="BK39" i="5"/>
  <c r="BJ39" i="5"/>
  <c r="CH39" i="5" s="1"/>
  <c r="BI39" i="5"/>
  <c r="CG39" i="5" s="1"/>
  <c r="BH39" i="5"/>
  <c r="BG39" i="5"/>
  <c r="BF39" i="5"/>
  <c r="BE39" i="5"/>
  <c r="BD39" i="5"/>
  <c r="BZ38" i="5"/>
  <c r="BY38" i="5"/>
  <c r="BX38" i="5"/>
  <c r="BW38" i="5"/>
  <c r="BV38" i="5"/>
  <c r="BU38" i="5"/>
  <c r="BT38" i="5"/>
  <c r="BS38" i="5"/>
  <c r="BR38" i="5"/>
  <c r="BQ38" i="5"/>
  <c r="BP38" i="5"/>
  <c r="BO38" i="5"/>
  <c r="BN38" i="5"/>
  <c r="BM38" i="5"/>
  <c r="BL38" i="5"/>
  <c r="BK38" i="5"/>
  <c r="BJ38" i="5"/>
  <c r="CH38" i="5" s="1"/>
  <c r="BI38" i="5"/>
  <c r="CG38" i="5" s="1"/>
  <c r="BH38" i="5"/>
  <c r="BG38" i="5"/>
  <c r="CE38" i="5" s="1"/>
  <c r="BF38" i="5"/>
  <c r="BE38" i="5"/>
  <c r="BD38" i="5"/>
  <c r="BZ37" i="5"/>
  <c r="BY37" i="5"/>
  <c r="BX37" i="5"/>
  <c r="BW37" i="5"/>
  <c r="BV37" i="5"/>
  <c r="BU37" i="5"/>
  <c r="BT37" i="5"/>
  <c r="BS37" i="5"/>
  <c r="BR37" i="5"/>
  <c r="BQ37" i="5"/>
  <c r="BP37" i="5"/>
  <c r="BO37" i="5"/>
  <c r="BN37" i="5"/>
  <c r="BM37" i="5"/>
  <c r="BL37" i="5"/>
  <c r="BK37" i="5"/>
  <c r="BJ37" i="5"/>
  <c r="BI37" i="5"/>
  <c r="BH37" i="5"/>
  <c r="BG37" i="5"/>
  <c r="BF37" i="5"/>
  <c r="BE37" i="5"/>
  <c r="BD37" i="5"/>
  <c r="BZ36" i="5"/>
  <c r="BY36" i="5"/>
  <c r="BX36" i="5"/>
  <c r="BW36" i="5"/>
  <c r="BV36" i="5"/>
  <c r="BU36" i="5"/>
  <c r="BT36" i="5"/>
  <c r="BS36" i="5"/>
  <c r="BR36" i="5"/>
  <c r="BQ36" i="5"/>
  <c r="BP36" i="5"/>
  <c r="BO36" i="5"/>
  <c r="BN36" i="5"/>
  <c r="BM36" i="5"/>
  <c r="BL36" i="5"/>
  <c r="BK36" i="5"/>
  <c r="BJ36" i="5"/>
  <c r="BI36" i="5"/>
  <c r="BH36" i="5"/>
  <c r="BG36" i="5"/>
  <c r="BF36" i="5"/>
  <c r="BE36" i="5"/>
  <c r="BD36" i="5"/>
  <c r="BZ35" i="5"/>
  <c r="BY35" i="5"/>
  <c r="BX35" i="5"/>
  <c r="BW35" i="5"/>
  <c r="BV35" i="5"/>
  <c r="BU35" i="5"/>
  <c r="BT35" i="5"/>
  <c r="BS35" i="5"/>
  <c r="BR35" i="5"/>
  <c r="BQ35" i="5"/>
  <c r="BP35" i="5"/>
  <c r="BO35" i="5"/>
  <c r="BN35" i="5"/>
  <c r="BM35" i="5"/>
  <c r="BL35" i="5"/>
  <c r="BK35" i="5"/>
  <c r="BJ35" i="5"/>
  <c r="CH35" i="5" s="1"/>
  <c r="BI35" i="5"/>
  <c r="CG35" i="5" s="1"/>
  <c r="BH35" i="5"/>
  <c r="BG35" i="5"/>
  <c r="BF35" i="5"/>
  <c r="BE35" i="5"/>
  <c r="BD35" i="5"/>
  <c r="BZ34" i="5"/>
  <c r="BY34" i="5"/>
  <c r="BX34" i="5"/>
  <c r="BW34" i="5"/>
  <c r="BV34" i="5"/>
  <c r="BU34" i="5"/>
  <c r="BT34" i="5"/>
  <c r="BS34" i="5"/>
  <c r="BR34" i="5"/>
  <c r="BQ34" i="5"/>
  <c r="BP34" i="5"/>
  <c r="BO34" i="5"/>
  <c r="BN34" i="5"/>
  <c r="BM34" i="5"/>
  <c r="BL34" i="5"/>
  <c r="BK34" i="5"/>
  <c r="BJ34" i="5"/>
  <c r="BI34" i="5"/>
  <c r="BH34" i="5"/>
  <c r="BG34" i="5"/>
  <c r="BF34" i="5"/>
  <c r="BE34" i="5"/>
  <c r="BD34" i="5"/>
  <c r="BZ33" i="5"/>
  <c r="BY33" i="5"/>
  <c r="BX33" i="5"/>
  <c r="BW33" i="5"/>
  <c r="BV33" i="5"/>
  <c r="BU33" i="5"/>
  <c r="BT33" i="5"/>
  <c r="BS33" i="5"/>
  <c r="BR33" i="5"/>
  <c r="BQ33" i="5"/>
  <c r="BP33" i="5"/>
  <c r="BO33" i="5"/>
  <c r="BN33" i="5"/>
  <c r="BM33" i="5"/>
  <c r="BL33" i="5"/>
  <c r="BK33" i="5"/>
  <c r="BJ33" i="5"/>
  <c r="BI33" i="5"/>
  <c r="BH33" i="5"/>
  <c r="BG33" i="5"/>
  <c r="BF33" i="5"/>
  <c r="BE33" i="5"/>
  <c r="BD33" i="5"/>
  <c r="BZ32" i="5"/>
  <c r="BY32" i="5"/>
  <c r="BX32" i="5"/>
  <c r="BW32" i="5"/>
  <c r="BV32" i="5"/>
  <c r="BU32" i="5"/>
  <c r="BT32" i="5"/>
  <c r="BS32" i="5"/>
  <c r="BR32" i="5"/>
  <c r="BQ32" i="5"/>
  <c r="BP32" i="5"/>
  <c r="BO32" i="5"/>
  <c r="BN32" i="5"/>
  <c r="BM32" i="5"/>
  <c r="BL32" i="5"/>
  <c r="BK32" i="5"/>
  <c r="BJ32" i="5"/>
  <c r="BI32" i="5"/>
  <c r="BH32" i="5"/>
  <c r="BG32" i="5"/>
  <c r="BF32" i="5"/>
  <c r="BE32" i="5"/>
  <c r="BD32" i="5"/>
  <c r="BZ31" i="5"/>
  <c r="BY31" i="5"/>
  <c r="BX31" i="5"/>
  <c r="BW31" i="5"/>
  <c r="BV31" i="5"/>
  <c r="BU31" i="5"/>
  <c r="BT31" i="5"/>
  <c r="BS31" i="5"/>
  <c r="BR31" i="5"/>
  <c r="BQ31" i="5"/>
  <c r="BP31" i="5"/>
  <c r="BO31" i="5"/>
  <c r="BN31" i="5"/>
  <c r="BM31" i="5"/>
  <c r="BL31" i="5"/>
  <c r="BK31" i="5"/>
  <c r="BJ31" i="5"/>
  <c r="BI31" i="5"/>
  <c r="BH31" i="5"/>
  <c r="BG31" i="5"/>
  <c r="BF31" i="5"/>
  <c r="BE31" i="5"/>
  <c r="BD31" i="5"/>
  <c r="BZ30" i="5"/>
  <c r="BY30" i="5"/>
  <c r="BX30" i="5"/>
  <c r="BW30" i="5"/>
  <c r="BV30" i="5"/>
  <c r="BU30" i="5"/>
  <c r="BT30" i="5"/>
  <c r="BS30" i="5"/>
  <c r="BR30" i="5"/>
  <c r="BQ30" i="5"/>
  <c r="BP30" i="5"/>
  <c r="BO30" i="5"/>
  <c r="BN30" i="5"/>
  <c r="BM30" i="5"/>
  <c r="BL30" i="5"/>
  <c r="BK30" i="5"/>
  <c r="BJ30" i="5"/>
  <c r="CH30" i="5" s="1"/>
  <c r="BI30" i="5"/>
  <c r="CG30" i="5" s="1"/>
  <c r="BH30" i="5"/>
  <c r="CF30" i="5" s="1"/>
  <c r="BG30" i="5"/>
  <c r="CE30" i="5" s="1"/>
  <c r="BF30" i="5"/>
  <c r="BE30" i="5"/>
  <c r="BD30" i="5"/>
  <c r="BZ29" i="5"/>
  <c r="BY29" i="5"/>
  <c r="BX29" i="5"/>
  <c r="BW29" i="5"/>
  <c r="BV29" i="5"/>
  <c r="BU29" i="5"/>
  <c r="BT29" i="5"/>
  <c r="BS29" i="5"/>
  <c r="BR29" i="5"/>
  <c r="BQ29" i="5"/>
  <c r="BP29" i="5"/>
  <c r="BO29" i="5"/>
  <c r="BN29" i="5"/>
  <c r="BM29" i="5"/>
  <c r="BL29" i="5"/>
  <c r="BK29" i="5"/>
  <c r="BJ29" i="5"/>
  <c r="CH29" i="5" s="1"/>
  <c r="BI29" i="5"/>
  <c r="BH29" i="5"/>
  <c r="BG29" i="5"/>
  <c r="CE29" i="5" s="1"/>
  <c r="BF29" i="5"/>
  <c r="BE29" i="5"/>
  <c r="BD29" i="5"/>
  <c r="BZ28" i="5"/>
  <c r="BY28" i="5"/>
  <c r="BX28" i="5"/>
  <c r="BW28" i="5"/>
  <c r="BV28" i="5"/>
  <c r="BU28" i="5"/>
  <c r="BT28" i="5"/>
  <c r="BS28" i="5"/>
  <c r="BR28" i="5"/>
  <c r="BQ28" i="5"/>
  <c r="BP28" i="5"/>
  <c r="BO28" i="5"/>
  <c r="BN28" i="5"/>
  <c r="BM28" i="5"/>
  <c r="BL28" i="5"/>
  <c r="BK28" i="5"/>
  <c r="BJ28" i="5"/>
  <c r="BI28" i="5"/>
  <c r="BH28" i="5"/>
  <c r="BG28" i="5"/>
  <c r="BF28" i="5"/>
  <c r="BE28" i="5"/>
  <c r="BD28" i="5"/>
  <c r="BZ27" i="5"/>
  <c r="BY27" i="5"/>
  <c r="BX27" i="5"/>
  <c r="BW27" i="5"/>
  <c r="BV27" i="5"/>
  <c r="BU27" i="5"/>
  <c r="BT27" i="5"/>
  <c r="BS27" i="5"/>
  <c r="BR27" i="5"/>
  <c r="BQ27" i="5"/>
  <c r="BP27" i="5"/>
  <c r="BO27" i="5"/>
  <c r="BN27" i="5"/>
  <c r="BM27" i="5"/>
  <c r="BL27" i="5"/>
  <c r="BK27" i="5"/>
  <c r="BJ27" i="5"/>
  <c r="BI27" i="5"/>
  <c r="BH27" i="5"/>
  <c r="BG27" i="5"/>
  <c r="BF27" i="5"/>
  <c r="BE27" i="5"/>
  <c r="BD27" i="5"/>
  <c r="BZ26" i="5"/>
  <c r="BY26" i="5"/>
  <c r="BX26" i="5"/>
  <c r="BW26" i="5"/>
  <c r="BV26" i="5"/>
  <c r="BU26" i="5"/>
  <c r="BT26" i="5"/>
  <c r="BS26" i="5"/>
  <c r="BR26" i="5"/>
  <c r="BQ26" i="5"/>
  <c r="BP26" i="5"/>
  <c r="BO26" i="5"/>
  <c r="BN26" i="5"/>
  <c r="BM26" i="5"/>
  <c r="BL26" i="5"/>
  <c r="BK26" i="5"/>
  <c r="BJ26" i="5"/>
  <c r="BI26" i="5"/>
  <c r="BH26" i="5"/>
  <c r="BG26" i="5"/>
  <c r="BF26" i="5"/>
  <c r="BE26" i="5"/>
  <c r="BD26" i="5"/>
  <c r="BZ25" i="5"/>
  <c r="BY25" i="5"/>
  <c r="BX25" i="5"/>
  <c r="BW25" i="5"/>
  <c r="BV25" i="5"/>
  <c r="BU25" i="5"/>
  <c r="BT25" i="5"/>
  <c r="BS25" i="5"/>
  <c r="BR25" i="5"/>
  <c r="BQ25" i="5"/>
  <c r="BP25" i="5"/>
  <c r="BO25" i="5"/>
  <c r="BN25" i="5"/>
  <c r="BM25" i="5"/>
  <c r="BL25" i="5"/>
  <c r="BK25" i="5"/>
  <c r="BJ25" i="5"/>
  <c r="BI25" i="5"/>
  <c r="BH25" i="5"/>
  <c r="BG25" i="5"/>
  <c r="BF25" i="5"/>
  <c r="BE25" i="5"/>
  <c r="BD25" i="5"/>
  <c r="BZ24" i="5"/>
  <c r="BY24" i="5"/>
  <c r="BX24" i="5"/>
  <c r="BW24" i="5"/>
  <c r="BV24" i="5"/>
  <c r="BU24" i="5"/>
  <c r="BT24" i="5"/>
  <c r="BS24" i="5"/>
  <c r="BR24" i="5"/>
  <c r="BQ24" i="5"/>
  <c r="BP24" i="5"/>
  <c r="BO24" i="5"/>
  <c r="BN24" i="5"/>
  <c r="BM24" i="5"/>
  <c r="BL24" i="5"/>
  <c r="BK24" i="5"/>
  <c r="BJ24" i="5"/>
  <c r="CH24" i="5" s="1"/>
  <c r="BI24" i="5"/>
  <c r="CG24" i="5" s="1"/>
  <c r="BH24" i="5"/>
  <c r="BG24" i="5"/>
  <c r="CE24" i="5" s="1"/>
  <c r="BF24" i="5"/>
  <c r="BE24" i="5"/>
  <c r="BD24" i="5"/>
  <c r="BZ23" i="5"/>
  <c r="BY23" i="5"/>
  <c r="BX23" i="5"/>
  <c r="BW23" i="5"/>
  <c r="BV23" i="5"/>
  <c r="BU23" i="5"/>
  <c r="BT23" i="5"/>
  <c r="BS23" i="5"/>
  <c r="BR23" i="5"/>
  <c r="BQ23" i="5"/>
  <c r="BP23" i="5"/>
  <c r="BO23" i="5"/>
  <c r="BN23" i="5"/>
  <c r="BM23" i="5"/>
  <c r="BL23" i="5"/>
  <c r="BK23" i="5"/>
  <c r="BJ23" i="5"/>
  <c r="BI23" i="5"/>
  <c r="BH23" i="5"/>
  <c r="BG23" i="5"/>
  <c r="BF23" i="5"/>
  <c r="BE23" i="5"/>
  <c r="BD23" i="5"/>
  <c r="BZ22" i="5"/>
  <c r="BY22" i="5"/>
  <c r="BX22" i="5"/>
  <c r="BW22" i="5"/>
  <c r="BV22" i="5"/>
  <c r="BU22" i="5"/>
  <c r="BT22" i="5"/>
  <c r="BS22" i="5"/>
  <c r="BR22" i="5"/>
  <c r="BQ22" i="5"/>
  <c r="BP22" i="5"/>
  <c r="BO22" i="5"/>
  <c r="BN22" i="5"/>
  <c r="BM22" i="5"/>
  <c r="BL22" i="5"/>
  <c r="BK22" i="5"/>
  <c r="BJ22" i="5"/>
  <c r="CH22" i="5" s="1"/>
  <c r="BI22" i="5"/>
  <c r="BH22" i="5"/>
  <c r="BG22" i="5"/>
  <c r="BF22" i="5"/>
  <c r="BE22" i="5"/>
  <c r="BD22" i="5"/>
  <c r="BZ21" i="5"/>
  <c r="BY21" i="5"/>
  <c r="BX21" i="5"/>
  <c r="BW21" i="5"/>
  <c r="BV21" i="5"/>
  <c r="BU21" i="5"/>
  <c r="BT21" i="5"/>
  <c r="BS21" i="5"/>
  <c r="BR21" i="5"/>
  <c r="BQ21" i="5"/>
  <c r="BP21" i="5"/>
  <c r="BO21" i="5"/>
  <c r="BN21" i="5"/>
  <c r="BM21" i="5"/>
  <c r="BL21" i="5"/>
  <c r="BK21" i="5"/>
  <c r="BJ21" i="5"/>
  <c r="BI21" i="5"/>
  <c r="BH21" i="5"/>
  <c r="BG21" i="5"/>
  <c r="BF21" i="5"/>
  <c r="BE21" i="5"/>
  <c r="BD21" i="5"/>
  <c r="BZ20" i="5"/>
  <c r="BY20" i="5"/>
  <c r="BX20" i="5"/>
  <c r="BW20" i="5"/>
  <c r="BV20" i="5"/>
  <c r="BU20" i="5"/>
  <c r="BT20" i="5"/>
  <c r="BS20" i="5"/>
  <c r="BR20" i="5"/>
  <c r="BQ20" i="5"/>
  <c r="BP20" i="5"/>
  <c r="BO20" i="5"/>
  <c r="BN20" i="5"/>
  <c r="BM20" i="5"/>
  <c r="BL20" i="5"/>
  <c r="BK20" i="5"/>
  <c r="BJ20" i="5"/>
  <c r="BI20" i="5"/>
  <c r="BH20" i="5"/>
  <c r="BG20" i="5"/>
  <c r="BF20" i="5"/>
  <c r="BE20" i="5"/>
  <c r="BD20" i="5"/>
  <c r="BZ19" i="5"/>
  <c r="BY19" i="5"/>
  <c r="BX19" i="5"/>
  <c r="BW19" i="5"/>
  <c r="BV19" i="5"/>
  <c r="BU19" i="5"/>
  <c r="BT19" i="5"/>
  <c r="BS19" i="5"/>
  <c r="BR19" i="5"/>
  <c r="BQ19" i="5"/>
  <c r="BP19" i="5"/>
  <c r="BO19" i="5"/>
  <c r="BN19" i="5"/>
  <c r="BM19" i="5"/>
  <c r="BL19" i="5"/>
  <c r="BK19" i="5"/>
  <c r="BJ19" i="5"/>
  <c r="CH19" i="5" s="1"/>
  <c r="BI19" i="5"/>
  <c r="CG19" i="5" s="1"/>
  <c r="BH19" i="5"/>
  <c r="BG19" i="5"/>
  <c r="CE19" i="5" s="1"/>
  <c r="BF19" i="5"/>
  <c r="BE19" i="5"/>
  <c r="BD19" i="5"/>
  <c r="BZ18" i="5"/>
  <c r="BY18" i="5"/>
  <c r="BX18" i="5"/>
  <c r="BW18" i="5"/>
  <c r="BV18" i="5"/>
  <c r="BU18" i="5"/>
  <c r="BT18" i="5"/>
  <c r="BS18" i="5"/>
  <c r="BR18" i="5"/>
  <c r="BQ18" i="5"/>
  <c r="BP18" i="5"/>
  <c r="BO18" i="5"/>
  <c r="BN18" i="5"/>
  <c r="BM18" i="5"/>
  <c r="BL18" i="5"/>
  <c r="BK18" i="5"/>
  <c r="BJ18" i="5"/>
  <c r="BI18" i="5"/>
  <c r="BH18" i="5"/>
  <c r="BG18" i="5"/>
  <c r="BF18" i="5"/>
  <c r="BE18" i="5"/>
  <c r="BD18" i="5"/>
  <c r="BZ17" i="5"/>
  <c r="BY17" i="5"/>
  <c r="BX17" i="5"/>
  <c r="BW17" i="5"/>
  <c r="BV17" i="5"/>
  <c r="BU17" i="5"/>
  <c r="BT17" i="5"/>
  <c r="BS17" i="5"/>
  <c r="BR17" i="5"/>
  <c r="BQ17" i="5"/>
  <c r="BP17" i="5"/>
  <c r="BO17" i="5"/>
  <c r="BN17" i="5"/>
  <c r="BM17" i="5"/>
  <c r="BL17" i="5"/>
  <c r="BK17" i="5"/>
  <c r="BJ17" i="5"/>
  <c r="BI17" i="5"/>
  <c r="BH17" i="5"/>
  <c r="BG17" i="5"/>
  <c r="CE17" i="5" s="1"/>
  <c r="BF17" i="5"/>
  <c r="BE17" i="5"/>
  <c r="BD17" i="5"/>
  <c r="BZ16" i="5"/>
  <c r="BY16" i="5"/>
  <c r="BX16" i="5"/>
  <c r="BW16" i="5"/>
  <c r="BV16" i="5"/>
  <c r="BU16" i="5"/>
  <c r="BT16" i="5"/>
  <c r="BS16" i="5"/>
  <c r="BR16" i="5"/>
  <c r="BQ16" i="5"/>
  <c r="BP16" i="5"/>
  <c r="BO16" i="5"/>
  <c r="BN16" i="5"/>
  <c r="BM16" i="5"/>
  <c r="BL16" i="5"/>
  <c r="BK16" i="5"/>
  <c r="BJ16" i="5"/>
  <c r="BI16" i="5"/>
  <c r="BH16" i="5"/>
  <c r="BG16" i="5"/>
  <c r="BF16" i="5"/>
  <c r="BE16" i="5"/>
  <c r="BD16" i="5"/>
  <c r="BZ15" i="5"/>
  <c r="BY15" i="5"/>
  <c r="BX15" i="5"/>
  <c r="BW15" i="5"/>
  <c r="BV15" i="5"/>
  <c r="BU15" i="5"/>
  <c r="BT15" i="5"/>
  <c r="BS15" i="5"/>
  <c r="BR15" i="5"/>
  <c r="BQ15" i="5"/>
  <c r="BP15" i="5"/>
  <c r="BO15" i="5"/>
  <c r="BN15" i="5"/>
  <c r="BM15" i="5"/>
  <c r="BL15" i="5"/>
  <c r="BK15" i="5"/>
  <c r="BJ15" i="5"/>
  <c r="BI15" i="5"/>
  <c r="BH15" i="5"/>
  <c r="BG15" i="5"/>
  <c r="BF15" i="5"/>
  <c r="BE15" i="5"/>
  <c r="BD15" i="5"/>
  <c r="BZ14" i="5"/>
  <c r="BY14" i="5"/>
  <c r="BX14" i="5"/>
  <c r="BW14" i="5"/>
  <c r="BV14" i="5"/>
  <c r="BU14" i="5"/>
  <c r="BT14" i="5"/>
  <c r="BS14" i="5"/>
  <c r="BR14" i="5"/>
  <c r="BQ14" i="5"/>
  <c r="BP14" i="5"/>
  <c r="BO14" i="5"/>
  <c r="BN14" i="5"/>
  <c r="BM14" i="5"/>
  <c r="BL14" i="5"/>
  <c r="BK14" i="5"/>
  <c r="BJ14" i="5"/>
  <c r="CH14" i="5" s="1"/>
  <c r="BI14" i="5"/>
  <c r="CG14" i="5" s="1"/>
  <c r="BH14" i="5"/>
  <c r="CF14" i="5" s="1"/>
  <c r="BG14" i="5"/>
  <c r="CE14" i="5" s="1"/>
  <c r="BF14" i="5"/>
  <c r="BE14" i="5"/>
  <c r="BD14" i="5"/>
  <c r="BZ13" i="5"/>
  <c r="BY13" i="5"/>
  <c r="BX13" i="5"/>
  <c r="BW13" i="5"/>
  <c r="BV13" i="5"/>
  <c r="BU13" i="5"/>
  <c r="BT13" i="5"/>
  <c r="BS13" i="5"/>
  <c r="BR13" i="5"/>
  <c r="BQ13" i="5"/>
  <c r="BP13" i="5"/>
  <c r="BO13" i="5"/>
  <c r="BN13" i="5"/>
  <c r="BM13" i="5"/>
  <c r="BL13" i="5"/>
  <c r="BK13" i="5"/>
  <c r="BJ13" i="5"/>
  <c r="BI13" i="5"/>
  <c r="BH13" i="5"/>
  <c r="BG13" i="5"/>
  <c r="CE13" i="5" s="1"/>
  <c r="BF13" i="5"/>
  <c r="BE13" i="5"/>
  <c r="BD13" i="5"/>
  <c r="BZ12" i="5"/>
  <c r="BY12" i="5"/>
  <c r="BX12" i="5"/>
  <c r="BW12" i="5"/>
  <c r="BV12" i="5"/>
  <c r="BU12" i="5"/>
  <c r="BT12" i="5"/>
  <c r="BS12" i="5"/>
  <c r="BR12" i="5"/>
  <c r="BQ12" i="5"/>
  <c r="BP12" i="5"/>
  <c r="BO12" i="5"/>
  <c r="BN12" i="5"/>
  <c r="BM12" i="5"/>
  <c r="BL12" i="5"/>
  <c r="BK12" i="5"/>
  <c r="BJ12" i="5"/>
  <c r="CH12" i="5" s="1"/>
  <c r="BI12" i="5"/>
  <c r="CG12" i="5" s="1"/>
  <c r="BH12" i="5"/>
  <c r="CF12" i="5" s="1"/>
  <c r="BG12" i="5"/>
  <c r="CE12" i="5" s="1"/>
  <c r="BF12" i="5"/>
  <c r="BE12" i="5"/>
  <c r="BD12" i="5"/>
  <c r="BZ11" i="5"/>
  <c r="BY11" i="5"/>
  <c r="BX11" i="5"/>
  <c r="BW11" i="5"/>
  <c r="BV11" i="5"/>
  <c r="BU11" i="5"/>
  <c r="BT11" i="5"/>
  <c r="BS11" i="5"/>
  <c r="BR11" i="5"/>
  <c r="BQ11" i="5"/>
  <c r="BP11" i="5"/>
  <c r="BO11" i="5"/>
  <c r="BN11" i="5"/>
  <c r="BM11" i="5"/>
  <c r="BL11" i="5"/>
  <c r="BK11" i="5"/>
  <c r="BJ11" i="5"/>
  <c r="CH11" i="5" s="1"/>
  <c r="BI11" i="5"/>
  <c r="BH11" i="5"/>
  <c r="BG11" i="5"/>
  <c r="CE11" i="5" s="1"/>
  <c r="BF11" i="5"/>
  <c r="BE11" i="5"/>
  <c r="BD11" i="5"/>
  <c r="BZ10" i="5"/>
  <c r="BY10" i="5"/>
  <c r="BX10" i="5"/>
  <c r="BW10" i="5"/>
  <c r="BV10" i="5"/>
  <c r="BU10" i="5"/>
  <c r="BT10" i="5"/>
  <c r="BS10" i="5"/>
  <c r="BR10" i="5"/>
  <c r="BQ10" i="5"/>
  <c r="BP10" i="5"/>
  <c r="BO10" i="5"/>
  <c r="BN10" i="5"/>
  <c r="BM10" i="5"/>
  <c r="BL10" i="5"/>
  <c r="BK10" i="5"/>
  <c r="BJ10" i="5"/>
  <c r="CH10" i="5" s="1"/>
  <c r="BI10" i="5"/>
  <c r="BH10" i="5"/>
  <c r="BG10" i="5"/>
  <c r="BF10" i="5"/>
  <c r="BE10" i="5"/>
  <c r="BD10" i="5"/>
  <c r="BZ9" i="5"/>
  <c r="BY9" i="5"/>
  <c r="BX9" i="5"/>
  <c r="BW9" i="5"/>
  <c r="BV9" i="5"/>
  <c r="BU9" i="5"/>
  <c r="BT9" i="5"/>
  <c r="BS9" i="5"/>
  <c r="BR9" i="5"/>
  <c r="BQ9" i="5"/>
  <c r="BP9" i="5"/>
  <c r="BO9" i="5"/>
  <c r="BN9" i="5"/>
  <c r="BM9" i="5"/>
  <c r="BL9" i="5"/>
  <c r="BK9" i="5"/>
  <c r="BJ9" i="5"/>
  <c r="BI9" i="5"/>
  <c r="BH9" i="5"/>
  <c r="BG9" i="5"/>
  <c r="CE9" i="5" s="1"/>
  <c r="BF9" i="5"/>
  <c r="BE9" i="5"/>
  <c r="BD9" i="5"/>
  <c r="BZ8" i="5"/>
  <c r="BY8" i="5"/>
  <c r="BX8" i="5"/>
  <c r="BW8" i="5"/>
  <c r="BV8" i="5"/>
  <c r="BU8" i="5"/>
  <c r="BT8" i="5"/>
  <c r="BS8" i="5"/>
  <c r="BR8" i="5"/>
  <c r="BQ8" i="5"/>
  <c r="BP8" i="5"/>
  <c r="BO8" i="5"/>
  <c r="BN8" i="5"/>
  <c r="BM8" i="5"/>
  <c r="BL8" i="5"/>
  <c r="BK8" i="5"/>
  <c r="BJ8" i="5"/>
  <c r="CH8" i="5" s="1"/>
  <c r="BI8" i="5"/>
  <c r="BH8" i="5"/>
  <c r="BG8" i="5"/>
  <c r="CE8" i="5" s="1"/>
  <c r="BF8" i="5"/>
  <c r="BE8" i="5"/>
  <c r="BD8" i="5"/>
  <c r="BZ7" i="5"/>
  <c r="BY7" i="5"/>
  <c r="BX7" i="5"/>
  <c r="BW7" i="5"/>
  <c r="BV7" i="5"/>
  <c r="BU7" i="5"/>
  <c r="BT7" i="5"/>
  <c r="BS7" i="5"/>
  <c r="BR7" i="5"/>
  <c r="BQ7" i="5"/>
  <c r="BP7" i="5"/>
  <c r="BO7" i="5"/>
  <c r="BN7" i="5"/>
  <c r="BM7" i="5"/>
  <c r="BL7" i="5"/>
  <c r="BK7" i="5"/>
  <c r="BJ7" i="5"/>
  <c r="CH7" i="5" s="1"/>
  <c r="BI7" i="5"/>
  <c r="BH7" i="5"/>
  <c r="BG7" i="5"/>
  <c r="BF7" i="5"/>
  <c r="BE7" i="5"/>
  <c r="BD7" i="5"/>
  <c r="BC7" i="5"/>
  <c r="CA7" i="5" s="1"/>
  <c r="H19" i="2" l="1"/>
  <c r="H18" i="2"/>
  <c r="H17" i="2"/>
  <c r="H16" i="2"/>
  <c r="H15" i="2"/>
  <c r="H14" i="2"/>
  <c r="H13" i="2"/>
  <c r="H12" i="2"/>
  <c r="H11" i="2"/>
  <c r="H10" i="2"/>
  <c r="H9" i="2"/>
  <c r="H8" i="2"/>
  <c r="H7" i="2"/>
  <c r="AM7" i="1" l="1"/>
  <c r="AM6" i="1"/>
  <c r="AM5" i="1"/>
  <c r="AM4" i="1"/>
  <c r="H47" i="5"/>
  <c r="H46" i="5"/>
  <c r="H45" i="5"/>
  <c r="H44" i="5"/>
  <c r="CH43" i="5"/>
  <c r="CG43" i="5"/>
  <c r="CF43" i="5"/>
  <c r="CE43" i="5"/>
  <c r="CD43" i="5"/>
  <c r="CB43" i="5"/>
  <c r="CA43" i="5"/>
  <c r="H43" i="5"/>
  <c r="CH42" i="5"/>
  <c r="CG42" i="5"/>
  <c r="CF42" i="5"/>
  <c r="CE42" i="5"/>
  <c r="CD42" i="5"/>
  <c r="CC42" i="5"/>
  <c r="CB42" i="5"/>
  <c r="CA42" i="5"/>
  <c r="H42" i="5"/>
  <c r="CF41" i="5"/>
  <c r="CE41" i="5"/>
  <c r="CD41" i="5"/>
  <c r="CC41" i="5"/>
  <c r="CA41" i="5"/>
  <c r="H41" i="5"/>
  <c r="CH40" i="5"/>
  <c r="CG40" i="5"/>
  <c r="CF40" i="5"/>
  <c r="CE40" i="5"/>
  <c r="CD40" i="5"/>
  <c r="CC40" i="5"/>
  <c r="CB40" i="5"/>
  <c r="CA40" i="5"/>
  <c r="H40" i="5"/>
  <c r="CF39" i="5"/>
  <c r="CE39" i="5"/>
  <c r="CD39" i="5"/>
  <c r="CA39" i="5"/>
  <c r="H39" i="5"/>
  <c r="CF38" i="5"/>
  <c r="CD38" i="5"/>
  <c r="H38" i="5"/>
  <c r="CH37" i="5"/>
  <c r="CG37" i="5"/>
  <c r="CF37" i="5"/>
  <c r="CE37" i="5"/>
  <c r="CD37" i="5"/>
  <c r="CB37" i="5"/>
  <c r="CA37" i="5"/>
  <c r="H37" i="5"/>
  <c r="CH36" i="5"/>
  <c r="CG36" i="5"/>
  <c r="CF36" i="5"/>
  <c r="CE36" i="5"/>
  <c r="CD36" i="5"/>
  <c r="CC36" i="5"/>
  <c r="CB36" i="5"/>
  <c r="CA36" i="5"/>
  <c r="H36" i="5"/>
  <c r="CF35" i="5"/>
  <c r="CE35" i="5"/>
  <c r="CC35" i="5"/>
  <c r="CB35" i="5"/>
  <c r="CA35" i="5"/>
  <c r="H35" i="5"/>
  <c r="CH34" i="5"/>
  <c r="CG34" i="5"/>
  <c r="CF34" i="5"/>
  <c r="CE34" i="5"/>
  <c r="CD34" i="5"/>
  <c r="CC34" i="5"/>
  <c r="CB34" i="5"/>
  <c r="CA34" i="5"/>
  <c r="H34" i="5"/>
  <c r="CH33" i="5"/>
  <c r="CG33" i="5"/>
  <c r="CF33" i="5"/>
  <c r="CE33" i="5"/>
  <c r="CD33" i="5"/>
  <c r="CC33" i="5"/>
  <c r="CB33" i="5"/>
  <c r="CA33" i="5"/>
  <c r="H33" i="5"/>
  <c r="CH32" i="5"/>
  <c r="CG32" i="5"/>
  <c r="CF32" i="5"/>
  <c r="CE32" i="5"/>
  <c r="CD32" i="5"/>
  <c r="CC32" i="5"/>
  <c r="CB32" i="5"/>
  <c r="CA32" i="5"/>
  <c r="H32" i="5"/>
  <c r="CH31" i="5"/>
  <c r="CG31" i="5"/>
  <c r="CF31" i="5"/>
  <c r="CE31" i="5"/>
  <c r="CD31" i="5"/>
  <c r="CC31" i="5"/>
  <c r="CB31" i="5"/>
  <c r="CA31" i="5"/>
  <c r="H31" i="5"/>
  <c r="CD30" i="5"/>
  <c r="CC30" i="5"/>
  <c r="CB30" i="5"/>
  <c r="CA30" i="5"/>
  <c r="H30" i="5"/>
  <c r="CG29" i="5"/>
  <c r="CF29" i="5"/>
  <c r="CD29" i="5"/>
  <c r="CC29" i="5"/>
  <c r="CB29" i="5"/>
  <c r="CA29" i="5"/>
  <c r="H29" i="5"/>
  <c r="CH28" i="5"/>
  <c r="CG28" i="5"/>
  <c r="CF28" i="5"/>
  <c r="CE28" i="5"/>
  <c r="CD28" i="5"/>
  <c r="CC28" i="5"/>
  <c r="CB28" i="5"/>
  <c r="CA28" i="5"/>
  <c r="H28" i="5"/>
  <c r="CH27" i="5"/>
  <c r="CG27" i="5"/>
  <c r="CF27" i="5"/>
  <c r="CE27" i="5"/>
  <c r="CD27" i="5"/>
  <c r="CC27" i="5"/>
  <c r="CB27" i="5"/>
  <c r="CA27" i="5"/>
  <c r="H27" i="5"/>
  <c r="CH26" i="5"/>
  <c r="CG26" i="5"/>
  <c r="CF26" i="5"/>
  <c r="CE26" i="5"/>
  <c r="CD26" i="5"/>
  <c r="CC26" i="5"/>
  <c r="CB26" i="5"/>
  <c r="CA26" i="5"/>
  <c r="H26" i="5"/>
  <c r="CH25" i="5"/>
  <c r="CG25" i="5"/>
  <c r="CF25" i="5"/>
  <c r="CE25" i="5"/>
  <c r="CD25" i="5"/>
  <c r="CC25" i="5"/>
  <c r="CB25" i="5"/>
  <c r="CA25" i="5"/>
  <c r="H25" i="5"/>
  <c r="CF24" i="5"/>
  <c r="CD24" i="5"/>
  <c r="CC24" i="5"/>
  <c r="CB24" i="5"/>
  <c r="CA24" i="5"/>
  <c r="H24" i="5"/>
  <c r="CH23" i="5"/>
  <c r="CG23" i="5"/>
  <c r="CF23" i="5"/>
  <c r="CE23" i="5"/>
  <c r="CD23" i="5"/>
  <c r="CC23" i="5"/>
  <c r="CB23" i="5"/>
  <c r="CA23" i="5"/>
  <c r="H23" i="5"/>
  <c r="CG22" i="5"/>
  <c r="CF22" i="5"/>
  <c r="CE22" i="5"/>
  <c r="CD22" i="5"/>
  <c r="CB22" i="5"/>
  <c r="CA22" i="5"/>
  <c r="H22" i="5"/>
  <c r="CH21" i="5"/>
  <c r="CG21" i="5"/>
  <c r="CF21" i="5"/>
  <c r="CE21" i="5"/>
  <c r="CD21" i="5"/>
  <c r="CC21" i="5"/>
  <c r="CB21" i="5"/>
  <c r="CA21" i="5"/>
  <c r="H21" i="5"/>
  <c r="CH20" i="5"/>
  <c r="CG20" i="5"/>
  <c r="CF20" i="5"/>
  <c r="CE20" i="5"/>
  <c r="CD20" i="5"/>
  <c r="CC20" i="5"/>
  <c r="CB20" i="5"/>
  <c r="CA20" i="5"/>
  <c r="H20" i="5"/>
  <c r="CF19" i="5"/>
  <c r="CD19" i="5"/>
  <c r="CC19" i="5"/>
  <c r="CB19" i="5"/>
  <c r="CA19" i="5"/>
  <c r="H19" i="5"/>
  <c r="CH18" i="5"/>
  <c r="CG18" i="5"/>
  <c r="CF18" i="5"/>
  <c r="CE18" i="5"/>
  <c r="CD18" i="5"/>
  <c r="CC18" i="5"/>
  <c r="CB18" i="5"/>
  <c r="CA18" i="5"/>
  <c r="H18" i="5"/>
  <c r="CH17" i="5"/>
  <c r="CG17" i="5"/>
  <c r="CF17" i="5"/>
  <c r="CD17" i="5"/>
  <c r="CC17" i="5"/>
  <c r="CA17" i="5"/>
  <c r="H17" i="5"/>
  <c r="CH16" i="5"/>
  <c r="CG16" i="5"/>
  <c r="CF16" i="5"/>
  <c r="CE16" i="5"/>
  <c r="CD16" i="5"/>
  <c r="CC16" i="5"/>
  <c r="CB16" i="5"/>
  <c r="CA16" i="5"/>
  <c r="H16" i="5"/>
  <c r="CH15" i="5"/>
  <c r="CG15" i="5"/>
  <c r="CF15" i="5"/>
  <c r="CE15" i="5"/>
  <c r="CD15" i="5"/>
  <c r="CC15" i="5"/>
  <c r="CB15" i="5"/>
  <c r="CA15" i="5"/>
  <c r="H15" i="5"/>
  <c r="CC14" i="5"/>
  <c r="CB14" i="5"/>
  <c r="CA14" i="5"/>
  <c r="H14" i="5"/>
  <c r="CH13" i="5"/>
  <c r="CG13" i="5"/>
  <c r="CF13" i="5"/>
  <c r="CD13" i="5"/>
  <c r="CC13" i="5"/>
  <c r="CB13" i="5"/>
  <c r="CA13" i="5"/>
  <c r="H13" i="5"/>
  <c r="CD12" i="5"/>
  <c r="CC12" i="5"/>
  <c r="CB12" i="5"/>
  <c r="CA12" i="5"/>
  <c r="H12" i="5"/>
  <c r="CG11" i="5"/>
  <c r="CF11" i="5"/>
  <c r="CD11" i="5"/>
  <c r="CC11" i="5"/>
  <c r="CB11" i="5"/>
  <c r="CA11" i="5"/>
  <c r="H11" i="5"/>
  <c r="CG10" i="5"/>
  <c r="CF10" i="5"/>
  <c r="CE10" i="5"/>
  <c r="CD10" i="5"/>
  <c r="CC10" i="5"/>
  <c r="CB10" i="5"/>
  <c r="CA10" i="5"/>
  <c r="H10" i="5"/>
  <c r="CH9" i="5"/>
  <c r="CG9" i="5"/>
  <c r="CF9" i="5"/>
  <c r="CD9" i="5"/>
  <c r="CC9" i="5"/>
  <c r="CB9" i="5"/>
  <c r="CA9" i="5"/>
  <c r="H9" i="5"/>
  <c r="CG8" i="5"/>
  <c r="CF8" i="5"/>
  <c r="CD8" i="5"/>
  <c r="CC8" i="5"/>
  <c r="CB8" i="5"/>
  <c r="CA8" i="5"/>
  <c r="H8" i="5"/>
  <c r="CG7" i="5"/>
  <c r="CF7" i="5"/>
  <c r="CE7" i="5"/>
  <c r="CD7" i="5"/>
  <c r="CB7" i="5"/>
  <c r="H7" i="5"/>
  <c r="BZ66" i="6"/>
  <c r="BY66" i="6"/>
  <c r="BX66" i="6"/>
  <c r="BW66" i="6"/>
  <c r="BV66" i="6"/>
  <c r="BU66" i="6"/>
  <c r="BT66" i="6"/>
  <c r="BS66" i="6"/>
  <c r="BR66" i="6"/>
  <c r="BQ66" i="6"/>
  <c r="BP66" i="6"/>
  <c r="BO66" i="6"/>
  <c r="BN66" i="6"/>
  <c r="BM66" i="6"/>
  <c r="BL66" i="6"/>
  <c r="BK66" i="6"/>
  <c r="BJ66" i="6"/>
  <c r="BI66" i="6"/>
  <c r="BH66" i="6"/>
  <c r="BG66" i="6"/>
  <c r="BF66" i="6"/>
  <c r="BE66" i="6"/>
  <c r="CC66" i="6" s="1"/>
  <c r="BD66" i="6"/>
  <c r="CB66" i="6" s="1"/>
  <c r="BC66" i="6"/>
  <c r="BZ65" i="6"/>
  <c r="BY65" i="6"/>
  <c r="BX65" i="6"/>
  <c r="BW65" i="6"/>
  <c r="BV65" i="6"/>
  <c r="BU65" i="6"/>
  <c r="BT65" i="6"/>
  <c r="BS65" i="6"/>
  <c r="BR65" i="6"/>
  <c r="BQ65" i="6"/>
  <c r="BP65" i="6"/>
  <c r="BO65" i="6"/>
  <c r="BN65" i="6"/>
  <c r="BM65" i="6"/>
  <c r="BL65" i="6"/>
  <c r="BK65" i="6"/>
  <c r="BJ65" i="6"/>
  <c r="BI65" i="6"/>
  <c r="BH65" i="6"/>
  <c r="BG65" i="6"/>
  <c r="BF65" i="6"/>
  <c r="BE65" i="6"/>
  <c r="CC65" i="6" s="1"/>
  <c r="BD65" i="6"/>
  <c r="CB65" i="6" s="1"/>
  <c r="BC65" i="6"/>
  <c r="BZ64" i="6"/>
  <c r="BY64" i="6"/>
  <c r="BX64" i="6"/>
  <c r="BW64" i="6"/>
  <c r="BV64" i="6"/>
  <c r="BU64" i="6"/>
  <c r="BT64" i="6"/>
  <c r="BS64" i="6"/>
  <c r="BR64" i="6"/>
  <c r="BQ64" i="6"/>
  <c r="BP64" i="6"/>
  <c r="BO64" i="6"/>
  <c r="BN64" i="6"/>
  <c r="BM64" i="6"/>
  <c r="BL64" i="6"/>
  <c r="BK64" i="6"/>
  <c r="BJ64" i="6"/>
  <c r="BI64" i="6"/>
  <c r="BH64" i="6"/>
  <c r="BG64" i="6"/>
  <c r="BF64" i="6"/>
  <c r="BE64" i="6"/>
  <c r="BD64" i="6"/>
  <c r="BC64" i="6"/>
  <c r="BZ63" i="6"/>
  <c r="BY63" i="6"/>
  <c r="BX63" i="6"/>
  <c r="BW63" i="6"/>
  <c r="BV63" i="6"/>
  <c r="BU63" i="6"/>
  <c r="BT63" i="6"/>
  <c r="BS63" i="6"/>
  <c r="BR63" i="6"/>
  <c r="BQ63" i="6"/>
  <c r="BP63" i="6"/>
  <c r="BO63" i="6"/>
  <c r="BN63" i="6"/>
  <c r="BM63" i="6"/>
  <c r="BL63" i="6"/>
  <c r="BK63" i="6"/>
  <c r="BJ63" i="6"/>
  <c r="BI63" i="6"/>
  <c r="BH63" i="6"/>
  <c r="BG63" i="6"/>
  <c r="BF63" i="6"/>
  <c r="BE63" i="6"/>
  <c r="BD63" i="6"/>
  <c r="BC63" i="6"/>
  <c r="BZ62" i="6"/>
  <c r="BY62" i="6"/>
  <c r="BX62" i="6"/>
  <c r="BW62" i="6"/>
  <c r="BV62" i="6"/>
  <c r="BU62" i="6"/>
  <c r="BT62" i="6"/>
  <c r="BS62" i="6"/>
  <c r="BR62" i="6"/>
  <c r="BQ62" i="6"/>
  <c r="BP62" i="6"/>
  <c r="BO62" i="6"/>
  <c r="BN62" i="6"/>
  <c r="BM62" i="6"/>
  <c r="BL62" i="6"/>
  <c r="BK62" i="6"/>
  <c r="BJ62" i="6"/>
  <c r="BI62" i="6"/>
  <c r="BH62" i="6"/>
  <c r="BG62" i="6"/>
  <c r="BF62" i="6"/>
  <c r="BE62" i="6"/>
  <c r="BD62" i="6"/>
  <c r="BC62" i="6"/>
  <c r="BZ61" i="6"/>
  <c r="BY61" i="6"/>
  <c r="BX61" i="6"/>
  <c r="BW61" i="6"/>
  <c r="BV61" i="6"/>
  <c r="BU61" i="6"/>
  <c r="BT61" i="6"/>
  <c r="BS61" i="6"/>
  <c r="BR61" i="6"/>
  <c r="BQ61" i="6"/>
  <c r="BP61" i="6"/>
  <c r="BO61" i="6"/>
  <c r="BN61" i="6"/>
  <c r="BM61" i="6"/>
  <c r="BL61" i="6"/>
  <c r="BK61" i="6"/>
  <c r="BJ61" i="6"/>
  <c r="BI61" i="6"/>
  <c r="BH61" i="6"/>
  <c r="BG61" i="6"/>
  <c r="BF61" i="6"/>
  <c r="BE61" i="6"/>
  <c r="BD61" i="6"/>
  <c r="BC61" i="6"/>
  <c r="BZ60" i="6"/>
  <c r="BY60" i="6"/>
  <c r="BX60" i="6"/>
  <c r="BW60" i="6"/>
  <c r="BV60" i="6"/>
  <c r="BU60" i="6"/>
  <c r="BT60" i="6"/>
  <c r="BS60" i="6"/>
  <c r="BR60" i="6"/>
  <c r="BQ60" i="6"/>
  <c r="BP60" i="6"/>
  <c r="BO60" i="6"/>
  <c r="BN60" i="6"/>
  <c r="BM60" i="6"/>
  <c r="BL60" i="6"/>
  <c r="BK60" i="6"/>
  <c r="BJ60" i="6"/>
  <c r="BI60" i="6"/>
  <c r="BH60" i="6"/>
  <c r="BG60" i="6"/>
  <c r="BF60" i="6"/>
  <c r="BE60" i="6"/>
  <c r="BD60" i="6"/>
  <c r="BC60" i="6"/>
  <c r="BZ59" i="6"/>
  <c r="BY59" i="6"/>
  <c r="BX59" i="6"/>
  <c r="BW59" i="6"/>
  <c r="BV59" i="6"/>
  <c r="BU59" i="6"/>
  <c r="BT59" i="6"/>
  <c r="BS59" i="6"/>
  <c r="BR59" i="6"/>
  <c r="BQ59" i="6"/>
  <c r="BP59" i="6"/>
  <c r="BO59" i="6"/>
  <c r="BN59" i="6"/>
  <c r="BM59" i="6"/>
  <c r="BL59" i="6"/>
  <c r="BK59" i="6"/>
  <c r="BJ59" i="6"/>
  <c r="BI59" i="6"/>
  <c r="BH59" i="6"/>
  <c r="BG59" i="6"/>
  <c r="BF59" i="6"/>
  <c r="BE59" i="6"/>
  <c r="BD59" i="6"/>
  <c r="BC59" i="6"/>
  <c r="BZ58" i="6"/>
  <c r="BY58" i="6"/>
  <c r="BX58" i="6"/>
  <c r="BW58" i="6"/>
  <c r="BV58" i="6"/>
  <c r="BU58" i="6"/>
  <c r="BT58" i="6"/>
  <c r="BS58" i="6"/>
  <c r="BR58" i="6"/>
  <c r="BQ58" i="6"/>
  <c r="BP58" i="6"/>
  <c r="BO58" i="6"/>
  <c r="BN58" i="6"/>
  <c r="BM58" i="6"/>
  <c r="BL58" i="6"/>
  <c r="BK58" i="6"/>
  <c r="BJ58" i="6"/>
  <c r="BI58" i="6"/>
  <c r="BH58" i="6"/>
  <c r="BG58" i="6"/>
  <c r="BF58" i="6"/>
  <c r="BE58" i="6"/>
  <c r="BD58" i="6"/>
  <c r="BC58" i="6"/>
  <c r="CA58" i="6" s="1"/>
  <c r="BZ57" i="6"/>
  <c r="BY57" i="6"/>
  <c r="BX57" i="6"/>
  <c r="BW57" i="6"/>
  <c r="BV57" i="6"/>
  <c r="BU57" i="6"/>
  <c r="BT57" i="6"/>
  <c r="BS57" i="6"/>
  <c r="BR57" i="6"/>
  <c r="BQ57" i="6"/>
  <c r="BP57" i="6"/>
  <c r="BO57" i="6"/>
  <c r="BN57" i="6"/>
  <c r="BM57" i="6"/>
  <c r="BL57" i="6"/>
  <c r="BK57" i="6"/>
  <c r="BJ57" i="6"/>
  <c r="BI57" i="6"/>
  <c r="BH57" i="6"/>
  <c r="BG57" i="6"/>
  <c r="BF57" i="6"/>
  <c r="BE57" i="6"/>
  <c r="BD57" i="6"/>
  <c r="BC57" i="6"/>
  <c r="BZ56" i="6"/>
  <c r="BY56" i="6"/>
  <c r="BX56" i="6"/>
  <c r="BW56" i="6"/>
  <c r="BV56" i="6"/>
  <c r="BU56" i="6"/>
  <c r="BT56" i="6"/>
  <c r="BS56" i="6"/>
  <c r="BR56" i="6"/>
  <c r="BQ56" i="6"/>
  <c r="BP56" i="6"/>
  <c r="BO56" i="6"/>
  <c r="BN56" i="6"/>
  <c r="BM56" i="6"/>
  <c r="BL56" i="6"/>
  <c r="BK56" i="6"/>
  <c r="BJ56" i="6"/>
  <c r="BI56" i="6"/>
  <c r="BH56" i="6"/>
  <c r="BG56" i="6"/>
  <c r="BF56" i="6"/>
  <c r="BE56" i="6"/>
  <c r="BD56" i="6"/>
  <c r="BC56" i="6"/>
  <c r="BZ55" i="6"/>
  <c r="BY55" i="6"/>
  <c r="BX55" i="6"/>
  <c r="BW55" i="6"/>
  <c r="BV55" i="6"/>
  <c r="BU55" i="6"/>
  <c r="BT55" i="6"/>
  <c r="BS55" i="6"/>
  <c r="BR55" i="6"/>
  <c r="BQ55" i="6"/>
  <c r="BP55" i="6"/>
  <c r="BO55" i="6"/>
  <c r="BN55" i="6"/>
  <c r="BM55" i="6"/>
  <c r="BL55" i="6"/>
  <c r="BK55" i="6"/>
  <c r="BJ55" i="6"/>
  <c r="BI55" i="6"/>
  <c r="BH55" i="6"/>
  <c r="BG55" i="6"/>
  <c r="BF55" i="6"/>
  <c r="BE55" i="6"/>
  <c r="BD55" i="6"/>
  <c r="BC55" i="6"/>
  <c r="BZ54" i="6"/>
  <c r="BY54" i="6"/>
  <c r="BX54" i="6"/>
  <c r="BW54" i="6"/>
  <c r="BV54" i="6"/>
  <c r="BU54" i="6"/>
  <c r="BT54" i="6"/>
  <c r="BS54" i="6"/>
  <c r="BR54" i="6"/>
  <c r="BQ54" i="6"/>
  <c r="BP54" i="6"/>
  <c r="BO54" i="6"/>
  <c r="BN54" i="6"/>
  <c r="BM54" i="6"/>
  <c r="BL54" i="6"/>
  <c r="BK54" i="6"/>
  <c r="BJ54" i="6"/>
  <c r="BI54" i="6"/>
  <c r="BH54" i="6"/>
  <c r="BG54" i="6"/>
  <c r="BF54" i="6"/>
  <c r="BE54" i="6"/>
  <c r="BD54" i="6"/>
  <c r="BC54" i="6"/>
  <c r="BZ53" i="6"/>
  <c r="BY53" i="6"/>
  <c r="BX53" i="6"/>
  <c r="BW53" i="6"/>
  <c r="BV53" i="6"/>
  <c r="BU53" i="6"/>
  <c r="BT53" i="6"/>
  <c r="BS53" i="6"/>
  <c r="BR53" i="6"/>
  <c r="BQ53" i="6"/>
  <c r="BP53" i="6"/>
  <c r="BO53" i="6"/>
  <c r="BN53" i="6"/>
  <c r="BM53" i="6"/>
  <c r="BL53" i="6"/>
  <c r="BK53" i="6"/>
  <c r="BJ53" i="6"/>
  <c r="BI53" i="6"/>
  <c r="BH53" i="6"/>
  <c r="BG53" i="6"/>
  <c r="BF53" i="6"/>
  <c r="BE53" i="6"/>
  <c r="BD53" i="6"/>
  <c r="BC53" i="6"/>
  <c r="BZ52" i="6"/>
  <c r="BY52" i="6"/>
  <c r="BX52" i="6"/>
  <c r="BW52" i="6"/>
  <c r="BV52" i="6"/>
  <c r="BU52" i="6"/>
  <c r="BT52" i="6"/>
  <c r="BS52" i="6"/>
  <c r="BR52" i="6"/>
  <c r="BQ52" i="6"/>
  <c r="BP52" i="6"/>
  <c r="BO52" i="6"/>
  <c r="BN52" i="6"/>
  <c r="BM52" i="6"/>
  <c r="BL52" i="6"/>
  <c r="BK52" i="6"/>
  <c r="BJ52" i="6"/>
  <c r="BI52" i="6"/>
  <c r="BH52" i="6"/>
  <c r="BG52" i="6"/>
  <c r="BF52" i="6"/>
  <c r="BE52" i="6"/>
  <c r="BD52" i="6"/>
  <c r="BC52" i="6"/>
  <c r="BZ51" i="6"/>
  <c r="BY51" i="6"/>
  <c r="BX51" i="6"/>
  <c r="BW51" i="6"/>
  <c r="BV51" i="6"/>
  <c r="BU51" i="6"/>
  <c r="BT51" i="6"/>
  <c r="BS51" i="6"/>
  <c r="BR51" i="6"/>
  <c r="BQ51" i="6"/>
  <c r="BP51" i="6"/>
  <c r="BO51" i="6"/>
  <c r="BN51" i="6"/>
  <c r="BM51" i="6"/>
  <c r="BL51" i="6"/>
  <c r="BK51" i="6"/>
  <c r="BJ51" i="6"/>
  <c r="BI51" i="6"/>
  <c r="BH51" i="6"/>
  <c r="BG51" i="6"/>
  <c r="BF51" i="6"/>
  <c r="BE51" i="6"/>
  <c r="BD51" i="6"/>
  <c r="BC51" i="6"/>
  <c r="BZ50" i="6"/>
  <c r="BY50" i="6"/>
  <c r="BX50" i="6"/>
  <c r="BW50" i="6"/>
  <c r="BV50" i="6"/>
  <c r="BU50" i="6"/>
  <c r="BT50" i="6"/>
  <c r="BS50" i="6"/>
  <c r="BR50" i="6"/>
  <c r="BQ50" i="6"/>
  <c r="BP50" i="6"/>
  <c r="BO50" i="6"/>
  <c r="BN50" i="6"/>
  <c r="BM50" i="6"/>
  <c r="BL50" i="6"/>
  <c r="BK50" i="6"/>
  <c r="BJ50" i="6"/>
  <c r="BI50" i="6"/>
  <c r="BH50" i="6"/>
  <c r="BG50" i="6"/>
  <c r="BF50" i="6"/>
  <c r="BE50" i="6"/>
  <c r="BD50" i="6"/>
  <c r="BC50" i="6"/>
  <c r="BZ49" i="6"/>
  <c r="BY49" i="6"/>
  <c r="BX49" i="6"/>
  <c r="BW49" i="6"/>
  <c r="BV49" i="6"/>
  <c r="BU49" i="6"/>
  <c r="BT49" i="6"/>
  <c r="BS49" i="6"/>
  <c r="BR49" i="6"/>
  <c r="BQ49" i="6"/>
  <c r="BP49" i="6"/>
  <c r="BO49" i="6"/>
  <c r="BN49" i="6"/>
  <c r="BM49" i="6"/>
  <c r="BL49" i="6"/>
  <c r="BK49" i="6"/>
  <c r="BJ49" i="6"/>
  <c r="BI49" i="6"/>
  <c r="BH49" i="6"/>
  <c r="BG49" i="6"/>
  <c r="BF49" i="6"/>
  <c r="BE49" i="6"/>
  <c r="BD49" i="6"/>
  <c r="BC49" i="6"/>
  <c r="BZ48" i="6"/>
  <c r="BY48" i="6"/>
  <c r="BX48" i="6"/>
  <c r="BW48" i="6"/>
  <c r="BV48" i="6"/>
  <c r="BU48" i="6"/>
  <c r="BT48" i="6"/>
  <c r="BS48" i="6"/>
  <c r="BR48" i="6"/>
  <c r="BQ48" i="6"/>
  <c r="BP48" i="6"/>
  <c r="BO48" i="6"/>
  <c r="BN48" i="6"/>
  <c r="BM48" i="6"/>
  <c r="BL48" i="6"/>
  <c r="BK48" i="6"/>
  <c r="BJ48" i="6"/>
  <c r="BI48" i="6"/>
  <c r="BH48" i="6"/>
  <c r="BG48" i="6"/>
  <c r="BF48" i="6"/>
  <c r="BE48" i="6"/>
  <c r="BD48" i="6"/>
  <c r="BC48" i="6"/>
  <c r="BZ47" i="6"/>
  <c r="BY47" i="6"/>
  <c r="BX47" i="6"/>
  <c r="BW47" i="6"/>
  <c r="BV47" i="6"/>
  <c r="BU47" i="6"/>
  <c r="BT47" i="6"/>
  <c r="BS47" i="6"/>
  <c r="BR47" i="6"/>
  <c r="BQ47" i="6"/>
  <c r="BP47" i="6"/>
  <c r="BO47" i="6"/>
  <c r="BN47" i="6"/>
  <c r="BM47" i="6"/>
  <c r="BL47" i="6"/>
  <c r="BK47" i="6"/>
  <c r="BJ47" i="6"/>
  <c r="BI47" i="6"/>
  <c r="BH47" i="6"/>
  <c r="BG47" i="6"/>
  <c r="BF47" i="6"/>
  <c r="BE47" i="6"/>
  <c r="BD47" i="6"/>
  <c r="BC47" i="6"/>
  <c r="BZ46" i="6"/>
  <c r="BY46" i="6"/>
  <c r="BX46" i="6"/>
  <c r="BW46" i="6"/>
  <c r="BV46" i="6"/>
  <c r="BU46" i="6"/>
  <c r="BT46" i="6"/>
  <c r="BS46" i="6"/>
  <c r="BR46" i="6"/>
  <c r="BQ46" i="6"/>
  <c r="BP46" i="6"/>
  <c r="BO46" i="6"/>
  <c r="BN46" i="6"/>
  <c r="BM46" i="6"/>
  <c r="BL46" i="6"/>
  <c r="BK46" i="6"/>
  <c r="BJ46" i="6"/>
  <c r="BI46" i="6"/>
  <c r="BH46" i="6"/>
  <c r="BG46" i="6"/>
  <c r="BF46" i="6"/>
  <c r="BE46" i="6"/>
  <c r="BD46" i="6"/>
  <c r="BC46" i="6"/>
  <c r="BZ45" i="6"/>
  <c r="BY45" i="6"/>
  <c r="BX45" i="6"/>
  <c r="BW45" i="6"/>
  <c r="BV45" i="6"/>
  <c r="BU45" i="6"/>
  <c r="BT45" i="6"/>
  <c r="BS45" i="6"/>
  <c r="BR45" i="6"/>
  <c r="BQ45" i="6"/>
  <c r="BP45" i="6"/>
  <c r="BO45" i="6"/>
  <c r="BN45" i="6"/>
  <c r="BM45" i="6"/>
  <c r="BL45" i="6"/>
  <c r="BK45" i="6"/>
  <c r="BJ45" i="6"/>
  <c r="BI45" i="6"/>
  <c r="BH45" i="6"/>
  <c r="BG45" i="6"/>
  <c r="BF45" i="6"/>
  <c r="BE45" i="6"/>
  <c r="BD45" i="6"/>
  <c r="BC45" i="6"/>
  <c r="BZ44" i="6"/>
  <c r="BY44" i="6"/>
  <c r="BX44" i="6"/>
  <c r="BW44" i="6"/>
  <c r="BV44" i="6"/>
  <c r="BU44" i="6"/>
  <c r="BT44" i="6"/>
  <c r="BS44" i="6"/>
  <c r="BR44" i="6"/>
  <c r="BQ44" i="6"/>
  <c r="BP44" i="6"/>
  <c r="BO44" i="6"/>
  <c r="BN44" i="6"/>
  <c r="BM44" i="6"/>
  <c r="BL44" i="6"/>
  <c r="BK44" i="6"/>
  <c r="BJ44" i="6"/>
  <c r="BI44" i="6"/>
  <c r="BH44" i="6"/>
  <c r="BG44" i="6"/>
  <c r="BF44" i="6"/>
  <c r="BE44" i="6"/>
  <c r="BD44" i="6"/>
  <c r="BC44" i="6"/>
  <c r="BZ43" i="6"/>
  <c r="BY43" i="6"/>
  <c r="BX43" i="6"/>
  <c r="BW43" i="6"/>
  <c r="BV43" i="6"/>
  <c r="BU43" i="6"/>
  <c r="BT43" i="6"/>
  <c r="BS43" i="6"/>
  <c r="BR43" i="6"/>
  <c r="BQ43" i="6"/>
  <c r="BP43" i="6"/>
  <c r="BO43" i="6"/>
  <c r="BN43" i="6"/>
  <c r="BM43" i="6"/>
  <c r="BL43" i="6"/>
  <c r="BK43" i="6"/>
  <c r="BJ43" i="6"/>
  <c r="BI43" i="6"/>
  <c r="BH43" i="6"/>
  <c r="BG43" i="6"/>
  <c r="BF43" i="6"/>
  <c r="BE43" i="6"/>
  <c r="BD43" i="6"/>
  <c r="BC43" i="6"/>
  <c r="BZ42" i="6"/>
  <c r="BY42" i="6"/>
  <c r="BX42" i="6"/>
  <c r="BW42" i="6"/>
  <c r="BV42" i="6"/>
  <c r="BU42" i="6"/>
  <c r="BT42" i="6"/>
  <c r="BS42" i="6"/>
  <c r="BR42" i="6"/>
  <c r="BQ42" i="6"/>
  <c r="BP42" i="6"/>
  <c r="BO42" i="6"/>
  <c r="BN42" i="6"/>
  <c r="BM42" i="6"/>
  <c r="BL42" i="6"/>
  <c r="BK42" i="6"/>
  <c r="BJ42" i="6"/>
  <c r="BI42" i="6"/>
  <c r="BH42" i="6"/>
  <c r="BG42" i="6"/>
  <c r="BF42" i="6"/>
  <c r="BE42" i="6"/>
  <c r="BD42" i="6"/>
  <c r="BC42" i="6"/>
  <c r="BZ41" i="6"/>
  <c r="BY41" i="6"/>
  <c r="BX41" i="6"/>
  <c r="BW41" i="6"/>
  <c r="BV41" i="6"/>
  <c r="BU41" i="6"/>
  <c r="BT41" i="6"/>
  <c r="BS41" i="6"/>
  <c r="BR41" i="6"/>
  <c r="BQ41" i="6"/>
  <c r="BP41" i="6"/>
  <c r="BO41" i="6"/>
  <c r="BN41" i="6"/>
  <c r="BM41" i="6"/>
  <c r="BL41" i="6"/>
  <c r="BK41" i="6"/>
  <c r="BJ41" i="6"/>
  <c r="BI41" i="6"/>
  <c r="BH41" i="6"/>
  <c r="BG41" i="6"/>
  <c r="BF41" i="6"/>
  <c r="BE41" i="6"/>
  <c r="BD41" i="6"/>
  <c r="BC41" i="6"/>
  <c r="BZ40" i="6"/>
  <c r="BY40" i="6"/>
  <c r="BX40" i="6"/>
  <c r="BW40" i="6"/>
  <c r="BV40" i="6"/>
  <c r="BU40" i="6"/>
  <c r="BT40" i="6"/>
  <c r="BS40" i="6"/>
  <c r="BR40" i="6"/>
  <c r="BQ40" i="6"/>
  <c r="BP40" i="6"/>
  <c r="BO40" i="6"/>
  <c r="BN40" i="6"/>
  <c r="BM40" i="6"/>
  <c r="BL40" i="6"/>
  <c r="BK40" i="6"/>
  <c r="BJ40" i="6"/>
  <c r="BI40" i="6"/>
  <c r="BH40" i="6"/>
  <c r="BG40" i="6"/>
  <c r="BF40" i="6"/>
  <c r="BE40" i="6"/>
  <c r="BD40" i="6"/>
  <c r="BC40" i="6"/>
  <c r="BZ39" i="6"/>
  <c r="BY39" i="6"/>
  <c r="BX39" i="6"/>
  <c r="BW39" i="6"/>
  <c r="BV39" i="6"/>
  <c r="BU39" i="6"/>
  <c r="BT39" i="6"/>
  <c r="BS39" i="6"/>
  <c r="BR39" i="6"/>
  <c r="BQ39" i="6"/>
  <c r="BP39" i="6"/>
  <c r="BO39" i="6"/>
  <c r="BN39" i="6"/>
  <c r="BM39" i="6"/>
  <c r="BL39" i="6"/>
  <c r="BK39" i="6"/>
  <c r="BJ39" i="6"/>
  <c r="BI39" i="6"/>
  <c r="BH39" i="6"/>
  <c r="BG39" i="6"/>
  <c r="BF39" i="6"/>
  <c r="BE39" i="6"/>
  <c r="BD39" i="6"/>
  <c r="BC39" i="6"/>
  <c r="CA39" i="6" s="1"/>
  <c r="BZ38" i="6"/>
  <c r="BY38" i="6"/>
  <c r="BX38" i="6"/>
  <c r="BW38" i="6"/>
  <c r="BV38" i="6"/>
  <c r="BU38" i="6"/>
  <c r="BT38" i="6"/>
  <c r="BS38" i="6"/>
  <c r="BR38" i="6"/>
  <c r="BQ38" i="6"/>
  <c r="BP38" i="6"/>
  <c r="BO38" i="6"/>
  <c r="BN38" i="6"/>
  <c r="BM38" i="6"/>
  <c r="BL38" i="6"/>
  <c r="BK38" i="6"/>
  <c r="BJ38" i="6"/>
  <c r="BI38" i="6"/>
  <c r="BH38" i="6"/>
  <c r="BG38" i="6"/>
  <c r="BF38" i="6"/>
  <c r="BE38" i="6"/>
  <c r="BD38" i="6"/>
  <c r="BC38" i="6"/>
  <c r="BZ37" i="6"/>
  <c r="BY37" i="6"/>
  <c r="BX37" i="6"/>
  <c r="BW37" i="6"/>
  <c r="BV37" i="6"/>
  <c r="BU37" i="6"/>
  <c r="BT37" i="6"/>
  <c r="BS37" i="6"/>
  <c r="BR37" i="6"/>
  <c r="BQ37" i="6"/>
  <c r="BP37" i="6"/>
  <c r="BO37" i="6"/>
  <c r="BN37" i="6"/>
  <c r="BM37" i="6"/>
  <c r="BL37" i="6"/>
  <c r="BK37" i="6"/>
  <c r="BJ37" i="6"/>
  <c r="BI37" i="6"/>
  <c r="BH37" i="6"/>
  <c r="BG37" i="6"/>
  <c r="BF37" i="6"/>
  <c r="BE37" i="6"/>
  <c r="BD37" i="6"/>
  <c r="BC37" i="6"/>
  <c r="BZ36" i="6"/>
  <c r="BY36" i="6"/>
  <c r="BX36" i="6"/>
  <c r="BW36" i="6"/>
  <c r="BV36" i="6"/>
  <c r="BU36" i="6"/>
  <c r="BT36" i="6"/>
  <c r="BS36" i="6"/>
  <c r="BR36" i="6"/>
  <c r="BQ36" i="6"/>
  <c r="BP36" i="6"/>
  <c r="BO36" i="6"/>
  <c r="BN36" i="6"/>
  <c r="BM36" i="6"/>
  <c r="BL36" i="6"/>
  <c r="BK36" i="6"/>
  <c r="BJ36" i="6"/>
  <c r="BI36" i="6"/>
  <c r="BH36" i="6"/>
  <c r="BG36" i="6"/>
  <c r="BF36" i="6"/>
  <c r="BE36" i="6"/>
  <c r="BD36" i="6"/>
  <c r="BC36" i="6"/>
  <c r="BZ35" i="6"/>
  <c r="BY35" i="6"/>
  <c r="BX35" i="6"/>
  <c r="BW35" i="6"/>
  <c r="BV35" i="6"/>
  <c r="BU35" i="6"/>
  <c r="BT35" i="6"/>
  <c r="BS35" i="6"/>
  <c r="BR35" i="6"/>
  <c r="BQ35" i="6"/>
  <c r="BP35" i="6"/>
  <c r="BO35" i="6"/>
  <c r="BN35" i="6"/>
  <c r="BM35" i="6"/>
  <c r="BL35" i="6"/>
  <c r="BK35" i="6"/>
  <c r="BJ35" i="6"/>
  <c r="BI35" i="6"/>
  <c r="BH35" i="6"/>
  <c r="BG35" i="6"/>
  <c r="BF35" i="6"/>
  <c r="BE35" i="6"/>
  <c r="BD35" i="6"/>
  <c r="BC35" i="6"/>
  <c r="BZ34" i="6"/>
  <c r="BY34" i="6"/>
  <c r="BX34" i="6"/>
  <c r="BW34" i="6"/>
  <c r="BV34" i="6"/>
  <c r="BU34" i="6"/>
  <c r="BT34" i="6"/>
  <c r="BS34" i="6"/>
  <c r="BR34" i="6"/>
  <c r="BQ34" i="6"/>
  <c r="BP34" i="6"/>
  <c r="BO34" i="6"/>
  <c r="BN34" i="6"/>
  <c r="BM34" i="6"/>
  <c r="BL34" i="6"/>
  <c r="BK34" i="6"/>
  <c r="BJ34" i="6"/>
  <c r="BI34" i="6"/>
  <c r="BH34" i="6"/>
  <c r="BG34" i="6"/>
  <c r="BF34" i="6"/>
  <c r="BE34" i="6"/>
  <c r="BD34" i="6"/>
  <c r="BC34" i="6"/>
  <c r="BZ33" i="6"/>
  <c r="BY33" i="6"/>
  <c r="BX33" i="6"/>
  <c r="BW33" i="6"/>
  <c r="BV33" i="6"/>
  <c r="BU33" i="6"/>
  <c r="BT33" i="6"/>
  <c r="BS33" i="6"/>
  <c r="BR33" i="6"/>
  <c r="BQ33" i="6"/>
  <c r="BP33" i="6"/>
  <c r="BO33" i="6"/>
  <c r="BN33" i="6"/>
  <c r="BM33" i="6"/>
  <c r="BL33" i="6"/>
  <c r="BK33" i="6"/>
  <c r="BJ33" i="6"/>
  <c r="BI33" i="6"/>
  <c r="BH33" i="6"/>
  <c r="BG33" i="6"/>
  <c r="BF33" i="6"/>
  <c r="BE33" i="6"/>
  <c r="BD33" i="6"/>
  <c r="BC33" i="6"/>
  <c r="BZ32" i="6"/>
  <c r="BY32" i="6"/>
  <c r="BX32" i="6"/>
  <c r="BW32" i="6"/>
  <c r="BV32" i="6"/>
  <c r="BU32" i="6"/>
  <c r="BT32" i="6"/>
  <c r="BS32" i="6"/>
  <c r="BR32" i="6"/>
  <c r="BQ32" i="6"/>
  <c r="BP32" i="6"/>
  <c r="BO32" i="6"/>
  <c r="BN32" i="6"/>
  <c r="BM32" i="6"/>
  <c r="BL32" i="6"/>
  <c r="BK32" i="6"/>
  <c r="BJ32" i="6"/>
  <c r="BI32" i="6"/>
  <c r="BH32" i="6"/>
  <c r="BG32" i="6"/>
  <c r="BF32" i="6"/>
  <c r="BE32" i="6"/>
  <c r="BD32" i="6"/>
  <c r="BC32" i="6"/>
  <c r="BZ31" i="6"/>
  <c r="BY31" i="6"/>
  <c r="BX31" i="6"/>
  <c r="BW31" i="6"/>
  <c r="BV31" i="6"/>
  <c r="BU31" i="6"/>
  <c r="BT31" i="6"/>
  <c r="BS31" i="6"/>
  <c r="BR31" i="6"/>
  <c r="BQ31" i="6"/>
  <c r="BP31" i="6"/>
  <c r="BO31" i="6"/>
  <c r="BN31" i="6"/>
  <c r="BM31" i="6"/>
  <c r="BL31" i="6"/>
  <c r="BK31" i="6"/>
  <c r="BJ31" i="6"/>
  <c r="BI31" i="6"/>
  <c r="BH31" i="6"/>
  <c r="BG31" i="6"/>
  <c r="BF31" i="6"/>
  <c r="BE31" i="6"/>
  <c r="BD31" i="6"/>
  <c r="BC31" i="6"/>
  <c r="BZ30" i="6"/>
  <c r="BY30" i="6"/>
  <c r="BX30" i="6"/>
  <c r="BW30" i="6"/>
  <c r="BV30" i="6"/>
  <c r="BU30" i="6"/>
  <c r="BT30" i="6"/>
  <c r="BS30" i="6"/>
  <c r="BR30" i="6"/>
  <c r="BQ30" i="6"/>
  <c r="BP30" i="6"/>
  <c r="BO30" i="6"/>
  <c r="BN30" i="6"/>
  <c r="BM30" i="6"/>
  <c r="BL30" i="6"/>
  <c r="BK30" i="6"/>
  <c r="BJ30" i="6"/>
  <c r="BI30" i="6"/>
  <c r="BH30" i="6"/>
  <c r="BG30" i="6"/>
  <c r="BF30" i="6"/>
  <c r="BE30" i="6"/>
  <c r="BD30" i="6"/>
  <c r="BC30" i="6"/>
  <c r="BZ29" i="6"/>
  <c r="BY29" i="6"/>
  <c r="BX29" i="6"/>
  <c r="BW29" i="6"/>
  <c r="BV29" i="6"/>
  <c r="BU29" i="6"/>
  <c r="BT29" i="6"/>
  <c r="BS29" i="6"/>
  <c r="BR29" i="6"/>
  <c r="BQ29" i="6"/>
  <c r="BP29" i="6"/>
  <c r="BO29" i="6"/>
  <c r="BN29" i="6"/>
  <c r="BM29" i="6"/>
  <c r="BL29" i="6"/>
  <c r="BK29" i="6"/>
  <c r="BJ29" i="6"/>
  <c r="BI29" i="6"/>
  <c r="BH29" i="6"/>
  <c r="BG29" i="6"/>
  <c r="BF29" i="6"/>
  <c r="BE29" i="6"/>
  <c r="BD29" i="6"/>
  <c r="BC29" i="6"/>
  <c r="BZ28" i="6"/>
  <c r="BY28" i="6"/>
  <c r="BX28" i="6"/>
  <c r="BW28" i="6"/>
  <c r="BV28" i="6"/>
  <c r="BU28" i="6"/>
  <c r="BT28" i="6"/>
  <c r="BS28" i="6"/>
  <c r="BR28" i="6"/>
  <c r="BQ28" i="6"/>
  <c r="BP28" i="6"/>
  <c r="BO28" i="6"/>
  <c r="BN28" i="6"/>
  <c r="BM28" i="6"/>
  <c r="BL28" i="6"/>
  <c r="BK28" i="6"/>
  <c r="BJ28" i="6"/>
  <c r="BI28" i="6"/>
  <c r="BH28" i="6"/>
  <c r="BG28" i="6"/>
  <c r="BF28" i="6"/>
  <c r="BE28" i="6"/>
  <c r="BD28" i="6"/>
  <c r="CB28" i="6" s="1"/>
  <c r="BC28" i="6"/>
  <c r="BZ27" i="6"/>
  <c r="BY27" i="6"/>
  <c r="BX27" i="6"/>
  <c r="BW27" i="6"/>
  <c r="BV27" i="6"/>
  <c r="BU27" i="6"/>
  <c r="BT27" i="6"/>
  <c r="BS27" i="6"/>
  <c r="BR27" i="6"/>
  <c r="BQ27" i="6"/>
  <c r="BP27" i="6"/>
  <c r="BO27" i="6"/>
  <c r="BN27" i="6"/>
  <c r="BM27" i="6"/>
  <c r="BL27" i="6"/>
  <c r="BK27" i="6"/>
  <c r="BJ27" i="6"/>
  <c r="BI27" i="6"/>
  <c r="BH27" i="6"/>
  <c r="BG27" i="6"/>
  <c r="BF27" i="6"/>
  <c r="BE27" i="6"/>
  <c r="BD27" i="6"/>
  <c r="BC27" i="6"/>
  <c r="BZ26" i="6"/>
  <c r="BY26" i="6"/>
  <c r="BX26" i="6"/>
  <c r="BW26" i="6"/>
  <c r="BV26" i="6"/>
  <c r="BU26" i="6"/>
  <c r="BT26" i="6"/>
  <c r="BS26" i="6"/>
  <c r="BR26" i="6"/>
  <c r="BQ26" i="6"/>
  <c r="BP26" i="6"/>
  <c r="BO26" i="6"/>
  <c r="BN26" i="6"/>
  <c r="BM26" i="6"/>
  <c r="BL26" i="6"/>
  <c r="BK26" i="6"/>
  <c r="BJ26" i="6"/>
  <c r="BI26" i="6"/>
  <c r="BH26" i="6"/>
  <c r="BG26" i="6"/>
  <c r="BF26" i="6"/>
  <c r="BE26" i="6"/>
  <c r="BD26" i="6"/>
  <c r="BC26" i="6"/>
  <c r="BZ25" i="6"/>
  <c r="BY25" i="6"/>
  <c r="BX25" i="6"/>
  <c r="BW25" i="6"/>
  <c r="BV25" i="6"/>
  <c r="BU25" i="6"/>
  <c r="BT25" i="6"/>
  <c r="BS25" i="6"/>
  <c r="BR25" i="6"/>
  <c r="BQ25" i="6"/>
  <c r="BP25" i="6"/>
  <c r="BO25" i="6"/>
  <c r="BN25" i="6"/>
  <c r="BM25" i="6"/>
  <c r="BL25" i="6"/>
  <c r="BK25" i="6"/>
  <c r="BJ25" i="6"/>
  <c r="BI25" i="6"/>
  <c r="BH25" i="6"/>
  <c r="BG25" i="6"/>
  <c r="BF25" i="6"/>
  <c r="BE25" i="6"/>
  <c r="BD25" i="6"/>
  <c r="BC25" i="6"/>
  <c r="BZ24" i="6"/>
  <c r="BY24" i="6"/>
  <c r="BX24" i="6"/>
  <c r="BW24" i="6"/>
  <c r="BV24" i="6"/>
  <c r="BU24" i="6"/>
  <c r="BT24" i="6"/>
  <c r="BS24" i="6"/>
  <c r="BR24" i="6"/>
  <c r="BQ24" i="6"/>
  <c r="BP24" i="6"/>
  <c r="BO24" i="6"/>
  <c r="BN24" i="6"/>
  <c r="BM24" i="6"/>
  <c r="BL24" i="6"/>
  <c r="BK24" i="6"/>
  <c r="BJ24" i="6"/>
  <c r="BI24" i="6"/>
  <c r="BH24" i="6"/>
  <c r="BG24" i="6"/>
  <c r="BF24" i="6"/>
  <c r="BE24" i="6"/>
  <c r="BD24" i="6"/>
  <c r="BC24" i="6"/>
  <c r="BZ23" i="6"/>
  <c r="BY23" i="6"/>
  <c r="BX23" i="6"/>
  <c r="BW23" i="6"/>
  <c r="BV23" i="6"/>
  <c r="BU23" i="6"/>
  <c r="BT23" i="6"/>
  <c r="BS23" i="6"/>
  <c r="BR23" i="6"/>
  <c r="BQ23" i="6"/>
  <c r="BP23" i="6"/>
  <c r="BO23" i="6"/>
  <c r="BN23" i="6"/>
  <c r="BM23" i="6"/>
  <c r="BL23" i="6"/>
  <c r="BK23" i="6"/>
  <c r="BJ23" i="6"/>
  <c r="BI23" i="6"/>
  <c r="BH23" i="6"/>
  <c r="BG23" i="6"/>
  <c r="BF23" i="6"/>
  <c r="BE23" i="6"/>
  <c r="BD23" i="6"/>
  <c r="BC23" i="6"/>
  <c r="BZ22" i="6"/>
  <c r="BY22" i="6"/>
  <c r="BX22" i="6"/>
  <c r="BW22" i="6"/>
  <c r="BV22" i="6"/>
  <c r="BU22" i="6"/>
  <c r="BT22" i="6"/>
  <c r="BS22" i="6"/>
  <c r="BR22" i="6"/>
  <c r="BQ22" i="6"/>
  <c r="BP22" i="6"/>
  <c r="BO22" i="6"/>
  <c r="BN22" i="6"/>
  <c r="BM22" i="6"/>
  <c r="BL22" i="6"/>
  <c r="BK22" i="6"/>
  <c r="BJ22" i="6"/>
  <c r="BI22" i="6"/>
  <c r="BH22" i="6"/>
  <c r="BG22" i="6"/>
  <c r="BF22" i="6"/>
  <c r="BE22" i="6"/>
  <c r="BD22" i="6"/>
  <c r="BC22" i="6"/>
  <c r="BZ21" i="6"/>
  <c r="BY21" i="6"/>
  <c r="BX21" i="6"/>
  <c r="BW21" i="6"/>
  <c r="BV21" i="6"/>
  <c r="BU21" i="6"/>
  <c r="BT21" i="6"/>
  <c r="BS21" i="6"/>
  <c r="BR21" i="6"/>
  <c r="BQ21" i="6"/>
  <c r="BP21" i="6"/>
  <c r="BO21" i="6"/>
  <c r="BN21" i="6"/>
  <c r="BM21" i="6"/>
  <c r="BL21" i="6"/>
  <c r="BK21" i="6"/>
  <c r="BJ21" i="6"/>
  <c r="BI21" i="6"/>
  <c r="BH21" i="6"/>
  <c r="BG21" i="6"/>
  <c r="BF21" i="6"/>
  <c r="BE21" i="6"/>
  <c r="BD21" i="6"/>
  <c r="BC21" i="6"/>
  <c r="BZ20" i="6"/>
  <c r="BY20" i="6"/>
  <c r="BX20" i="6"/>
  <c r="BW20" i="6"/>
  <c r="BV20" i="6"/>
  <c r="BU20" i="6"/>
  <c r="BT20" i="6"/>
  <c r="BS20" i="6"/>
  <c r="BR20" i="6"/>
  <c r="BQ20" i="6"/>
  <c r="BP20" i="6"/>
  <c r="BO20" i="6"/>
  <c r="BN20" i="6"/>
  <c r="BM20" i="6"/>
  <c r="BL20" i="6"/>
  <c r="BK20" i="6"/>
  <c r="BJ20" i="6"/>
  <c r="BI20" i="6"/>
  <c r="BH20" i="6"/>
  <c r="BG20" i="6"/>
  <c r="BF20" i="6"/>
  <c r="BE20" i="6"/>
  <c r="BD20" i="6"/>
  <c r="BC20" i="6"/>
  <c r="BZ19" i="6"/>
  <c r="BY19" i="6"/>
  <c r="BX19" i="6"/>
  <c r="BW19" i="6"/>
  <c r="BV19" i="6"/>
  <c r="BU19" i="6"/>
  <c r="BT19" i="6"/>
  <c r="BS19" i="6"/>
  <c r="BR19" i="6"/>
  <c r="BQ19" i="6"/>
  <c r="BP19" i="6"/>
  <c r="BO19" i="6"/>
  <c r="BN19" i="6"/>
  <c r="BM19" i="6"/>
  <c r="BL19" i="6"/>
  <c r="BK19" i="6"/>
  <c r="BJ19" i="6"/>
  <c r="BI19" i="6"/>
  <c r="BH19" i="6"/>
  <c r="BG19" i="6"/>
  <c r="BF19" i="6"/>
  <c r="BE19" i="6"/>
  <c r="BD19" i="6"/>
  <c r="BC19" i="6"/>
  <c r="BZ18" i="6"/>
  <c r="BY18" i="6"/>
  <c r="BX18" i="6"/>
  <c r="BW18" i="6"/>
  <c r="BV18" i="6"/>
  <c r="BU18" i="6"/>
  <c r="BT18" i="6"/>
  <c r="BS18" i="6"/>
  <c r="BR18" i="6"/>
  <c r="BQ18" i="6"/>
  <c r="BP18" i="6"/>
  <c r="BO18" i="6"/>
  <c r="BN18" i="6"/>
  <c r="BM18" i="6"/>
  <c r="BL18" i="6"/>
  <c r="BK18" i="6"/>
  <c r="BJ18" i="6"/>
  <c r="BI18" i="6"/>
  <c r="BH18" i="6"/>
  <c r="BG18" i="6"/>
  <c r="BF18" i="6"/>
  <c r="BE18" i="6"/>
  <c r="BD18" i="6"/>
  <c r="BC18" i="6"/>
  <c r="BZ17" i="6"/>
  <c r="BY17" i="6"/>
  <c r="BX17" i="6"/>
  <c r="BW17" i="6"/>
  <c r="BV17" i="6"/>
  <c r="BU17" i="6"/>
  <c r="BT17" i="6"/>
  <c r="BS17" i="6"/>
  <c r="BR17" i="6"/>
  <c r="BQ17" i="6"/>
  <c r="BP17" i="6"/>
  <c r="BO17" i="6"/>
  <c r="BN17" i="6"/>
  <c r="BM17" i="6"/>
  <c r="BL17" i="6"/>
  <c r="BK17" i="6"/>
  <c r="BJ17" i="6"/>
  <c r="BI17" i="6"/>
  <c r="BH17" i="6"/>
  <c r="BG17" i="6"/>
  <c r="BF17" i="6"/>
  <c r="BE17" i="6"/>
  <c r="BD17" i="6"/>
  <c r="BC17" i="6"/>
  <c r="BZ16" i="6"/>
  <c r="BY16" i="6"/>
  <c r="BX16" i="6"/>
  <c r="BW16" i="6"/>
  <c r="BV16" i="6"/>
  <c r="BU16" i="6"/>
  <c r="BT16" i="6"/>
  <c r="BS16" i="6"/>
  <c r="BR16" i="6"/>
  <c r="BQ16" i="6"/>
  <c r="BP16" i="6"/>
  <c r="BO16" i="6"/>
  <c r="BN16" i="6"/>
  <c r="BM16" i="6"/>
  <c r="BL16" i="6"/>
  <c r="BK16" i="6"/>
  <c r="BJ16" i="6"/>
  <c r="BI16" i="6"/>
  <c r="BH16" i="6"/>
  <c r="BG16" i="6"/>
  <c r="BF16" i="6"/>
  <c r="BE16" i="6"/>
  <c r="BD16" i="6"/>
  <c r="BC16" i="6"/>
  <c r="BZ15" i="6"/>
  <c r="BY15" i="6"/>
  <c r="BX15" i="6"/>
  <c r="BW15" i="6"/>
  <c r="BV15" i="6"/>
  <c r="BU15" i="6"/>
  <c r="BT15" i="6"/>
  <c r="BS15" i="6"/>
  <c r="BR15" i="6"/>
  <c r="BQ15" i="6"/>
  <c r="BP15" i="6"/>
  <c r="BO15" i="6"/>
  <c r="BN15" i="6"/>
  <c r="BM15" i="6"/>
  <c r="BL15" i="6"/>
  <c r="BK15" i="6"/>
  <c r="BJ15" i="6"/>
  <c r="BI15" i="6"/>
  <c r="BH15" i="6"/>
  <c r="BG15" i="6"/>
  <c r="BF15" i="6"/>
  <c r="BE15" i="6"/>
  <c r="BD15" i="6"/>
  <c r="BC15" i="6"/>
  <c r="BZ14" i="6"/>
  <c r="BY14" i="6"/>
  <c r="BX14" i="6"/>
  <c r="BW14" i="6"/>
  <c r="BV14" i="6"/>
  <c r="BU14" i="6"/>
  <c r="BT14" i="6"/>
  <c r="BS14" i="6"/>
  <c r="BR14" i="6"/>
  <c r="BQ14" i="6"/>
  <c r="BP14" i="6"/>
  <c r="BO14" i="6"/>
  <c r="BN14" i="6"/>
  <c r="BM14" i="6"/>
  <c r="BL14" i="6"/>
  <c r="BK14" i="6"/>
  <c r="BJ14" i="6"/>
  <c r="BI14" i="6"/>
  <c r="BH14" i="6"/>
  <c r="BG14" i="6"/>
  <c r="BF14" i="6"/>
  <c r="BE14" i="6"/>
  <c r="BD14" i="6"/>
  <c r="BC14" i="6"/>
  <c r="BZ13" i="6"/>
  <c r="BY13" i="6"/>
  <c r="BX13" i="6"/>
  <c r="BW13" i="6"/>
  <c r="BV13" i="6"/>
  <c r="BU13" i="6"/>
  <c r="BT13" i="6"/>
  <c r="BS13" i="6"/>
  <c r="BR13" i="6"/>
  <c r="BQ13" i="6"/>
  <c r="BP13" i="6"/>
  <c r="BO13" i="6"/>
  <c r="BN13" i="6"/>
  <c r="BM13" i="6"/>
  <c r="BL13" i="6"/>
  <c r="BK13" i="6"/>
  <c r="BJ13" i="6"/>
  <c r="BI13" i="6"/>
  <c r="BH13" i="6"/>
  <c r="BG13" i="6"/>
  <c r="BF13" i="6"/>
  <c r="BE13" i="6"/>
  <c r="BD13" i="6"/>
  <c r="BC13" i="6"/>
  <c r="BZ12" i="6"/>
  <c r="BY12" i="6"/>
  <c r="BX12" i="6"/>
  <c r="BW12" i="6"/>
  <c r="BV12" i="6"/>
  <c r="BU12" i="6"/>
  <c r="BT12" i="6"/>
  <c r="BS12" i="6"/>
  <c r="BR12" i="6"/>
  <c r="BQ12" i="6"/>
  <c r="BP12" i="6"/>
  <c r="BO12" i="6"/>
  <c r="BN12" i="6"/>
  <c r="BM12" i="6"/>
  <c r="BL12" i="6"/>
  <c r="BK12" i="6"/>
  <c r="BJ12" i="6"/>
  <c r="BI12" i="6"/>
  <c r="BH12" i="6"/>
  <c r="BG12" i="6"/>
  <c r="BF12" i="6"/>
  <c r="BE12" i="6"/>
  <c r="BD12" i="6"/>
  <c r="BC12" i="6"/>
  <c r="BZ11" i="6"/>
  <c r="BY11" i="6"/>
  <c r="BX11" i="6"/>
  <c r="BW11" i="6"/>
  <c r="BV11" i="6"/>
  <c r="BU11" i="6"/>
  <c r="BT11" i="6"/>
  <c r="BS11" i="6"/>
  <c r="BR11" i="6"/>
  <c r="BQ11" i="6"/>
  <c r="BP11" i="6"/>
  <c r="BO11" i="6"/>
  <c r="BN11" i="6"/>
  <c r="BM11" i="6"/>
  <c r="BL11" i="6"/>
  <c r="BK11" i="6"/>
  <c r="BJ11" i="6"/>
  <c r="BI11" i="6"/>
  <c r="BH11" i="6"/>
  <c r="BG11" i="6"/>
  <c r="BF11" i="6"/>
  <c r="BE11" i="6"/>
  <c r="BD11" i="6"/>
  <c r="BC11" i="6"/>
  <c r="BZ10" i="6"/>
  <c r="BY10" i="6"/>
  <c r="BX10" i="6"/>
  <c r="BW10" i="6"/>
  <c r="BV10" i="6"/>
  <c r="BU10" i="6"/>
  <c r="BT10" i="6"/>
  <c r="BS10" i="6"/>
  <c r="BR10" i="6"/>
  <c r="BQ10" i="6"/>
  <c r="BP10" i="6"/>
  <c r="BO10" i="6"/>
  <c r="BN10" i="6"/>
  <c r="BM10" i="6"/>
  <c r="BL10" i="6"/>
  <c r="BK10" i="6"/>
  <c r="BJ10" i="6"/>
  <c r="BI10" i="6"/>
  <c r="BH10" i="6"/>
  <c r="BG10" i="6"/>
  <c r="BF10" i="6"/>
  <c r="BE10" i="6"/>
  <c r="BD10" i="6"/>
  <c r="BC10" i="6"/>
  <c r="BZ9" i="6"/>
  <c r="BY9" i="6"/>
  <c r="BX9" i="6"/>
  <c r="BW9" i="6"/>
  <c r="BV9" i="6"/>
  <c r="BU9" i="6"/>
  <c r="BT9" i="6"/>
  <c r="BS9" i="6"/>
  <c r="BR9" i="6"/>
  <c r="BQ9" i="6"/>
  <c r="BP9" i="6"/>
  <c r="BO9" i="6"/>
  <c r="BN9" i="6"/>
  <c r="BM9" i="6"/>
  <c r="BL9" i="6"/>
  <c r="BK9" i="6"/>
  <c r="BJ9" i="6"/>
  <c r="BI9" i="6"/>
  <c r="BH9" i="6"/>
  <c r="BG9" i="6"/>
  <c r="BF9" i="6"/>
  <c r="BE9" i="6"/>
  <c r="BD9" i="6"/>
  <c r="BC9" i="6"/>
  <c r="BZ8" i="6"/>
  <c r="BY8" i="6"/>
  <c r="BX8" i="6"/>
  <c r="BW8" i="6"/>
  <c r="BV8" i="6"/>
  <c r="BU8" i="6"/>
  <c r="BT8" i="6"/>
  <c r="BS8" i="6"/>
  <c r="BR8" i="6"/>
  <c r="BQ8" i="6"/>
  <c r="BP8" i="6"/>
  <c r="BO8" i="6"/>
  <c r="BN8" i="6"/>
  <c r="BM8" i="6"/>
  <c r="BL8" i="6"/>
  <c r="BK8" i="6"/>
  <c r="BJ8" i="6"/>
  <c r="BI8" i="6"/>
  <c r="BH8" i="6"/>
  <c r="BG8" i="6"/>
  <c r="BF8" i="6"/>
  <c r="BE8" i="6"/>
  <c r="BD8" i="6"/>
  <c r="BC8" i="6"/>
  <c r="CC32" i="6"/>
  <c r="CB35" i="6"/>
  <c r="CC36" i="6"/>
  <c r="CC37" i="6"/>
  <c r="CB38" i="6"/>
  <c r="CC38" i="6"/>
  <c r="CB39" i="6"/>
  <c r="CB40" i="6"/>
  <c r="CC40" i="6"/>
  <c r="CC41" i="6"/>
  <c r="CB41" i="6"/>
  <c r="CB42" i="6"/>
  <c r="CC42" i="6"/>
  <c r="CB43" i="6"/>
  <c r="CB44" i="6"/>
  <c r="CC44" i="6"/>
  <c r="CC45" i="6"/>
  <c r="CB45" i="6"/>
  <c r="CB46" i="6"/>
  <c r="CC46" i="6"/>
  <c r="CB47" i="6"/>
  <c r="CB48" i="6"/>
  <c r="CC48" i="6"/>
  <c r="CB49" i="6"/>
  <c r="CC49" i="6"/>
  <c r="CC50" i="6"/>
  <c r="CB50" i="6"/>
  <c r="CA51" i="6"/>
  <c r="CB51" i="6"/>
  <c r="CC51" i="6"/>
  <c r="CB52" i="6"/>
  <c r="CC52" i="6"/>
  <c r="CC53" i="6"/>
  <c r="CB53" i="6"/>
  <c r="CB54" i="6"/>
  <c r="CC54" i="6"/>
  <c r="CB55" i="6"/>
  <c r="CB56" i="6"/>
  <c r="CA56" i="6"/>
  <c r="CC56" i="6"/>
  <c r="CC57" i="6"/>
  <c r="CB57" i="6"/>
  <c r="CC58" i="6"/>
  <c r="CB60" i="6"/>
  <c r="CC60" i="6"/>
  <c r="CC61" i="6"/>
  <c r="CB61" i="6"/>
  <c r="CB62" i="6"/>
  <c r="CC62" i="6"/>
  <c r="CB64" i="6"/>
  <c r="CC64" i="6"/>
  <c r="CI12" i="5" l="1"/>
  <c r="CA60" i="6"/>
  <c r="CA61" i="6"/>
  <c r="CA62" i="6"/>
  <c r="CA64" i="6"/>
  <c r="BX68" i="6"/>
  <c r="BY68" i="6"/>
  <c r="BZ68" i="6"/>
  <c r="BW68" i="6"/>
  <c r="CA66" i="6"/>
  <c r="CD66" i="6" s="1"/>
  <c r="CI28" i="5"/>
  <c r="CI42" i="5"/>
  <c r="CI7" i="5"/>
  <c r="CI32" i="5"/>
  <c r="CI37" i="5"/>
  <c r="CB32" i="6"/>
  <c r="CA65" i="6"/>
  <c r="CD65" i="6" s="1"/>
  <c r="CB25" i="6"/>
  <c r="CD56" i="6"/>
  <c r="CD51" i="6"/>
  <c r="CD64" i="6"/>
  <c r="CD62" i="6"/>
  <c r="CD60" i="6"/>
  <c r="CC34" i="6"/>
  <c r="CI8" i="5"/>
  <c r="CC43" i="5"/>
  <c r="CI43" i="5" s="1"/>
  <c r="CI10" i="5"/>
  <c r="CI11" i="5"/>
  <c r="CI17" i="5"/>
  <c r="CI19" i="5"/>
  <c r="CI21" i="5"/>
  <c r="CI23" i="5"/>
  <c r="CI25" i="5"/>
  <c r="CI27" i="5"/>
  <c r="CI29" i="5"/>
  <c r="CI31" i="5"/>
  <c r="CI33" i="5"/>
  <c r="CI35" i="5"/>
  <c r="CI39" i="5"/>
  <c r="CI41" i="5"/>
  <c r="CI16" i="5"/>
  <c r="CI18" i="5"/>
  <c r="CI20" i="5"/>
  <c r="CI22" i="5"/>
  <c r="CI24" i="5"/>
  <c r="CI26" i="5"/>
  <c r="CI30" i="5"/>
  <c r="CI34" i="5"/>
  <c r="CI36" i="5"/>
  <c r="CI38" i="5"/>
  <c r="CI40" i="5"/>
  <c r="CI13" i="5"/>
  <c r="CI14" i="5"/>
  <c r="CI15" i="5"/>
  <c r="CB29" i="6"/>
  <c r="CB37" i="6"/>
  <c r="CB22" i="6"/>
  <c r="CB12" i="6"/>
  <c r="CB27" i="6"/>
  <c r="CC30" i="6"/>
  <c r="CB31" i="6"/>
  <c r="CB33" i="6"/>
  <c r="CB34" i="6"/>
  <c r="CB36" i="6"/>
  <c r="CA10" i="6"/>
  <c r="CA14" i="6"/>
  <c r="CA30" i="6"/>
  <c r="CA36" i="6"/>
  <c r="CD36" i="6" s="1"/>
  <c r="CA38" i="6"/>
  <c r="CD38" i="6" s="1"/>
  <c r="CA44" i="6"/>
  <c r="CD44" i="6" s="1"/>
  <c r="CA46" i="6"/>
  <c r="CD46" i="6" s="1"/>
  <c r="CA55" i="6"/>
  <c r="CB24" i="6"/>
  <c r="CB26" i="6"/>
  <c r="CC33" i="6"/>
  <c r="CC8" i="6"/>
  <c r="CC15" i="6"/>
  <c r="CC17" i="6"/>
  <c r="CC22" i="6"/>
  <c r="CC23" i="6"/>
  <c r="CC25" i="6"/>
  <c r="CC27" i="6"/>
  <c r="CC28" i="6"/>
  <c r="CC29" i="6"/>
  <c r="CA12" i="6"/>
  <c r="CA19" i="6"/>
  <c r="CB30" i="6"/>
  <c r="CC9" i="6"/>
  <c r="CB15" i="6"/>
  <c r="CC11" i="6"/>
  <c r="CC13" i="6"/>
  <c r="CB14" i="6"/>
  <c r="CB16" i="6"/>
  <c r="CB18" i="6"/>
  <c r="CC19" i="6"/>
  <c r="CB20" i="6"/>
  <c r="CB21" i="6"/>
  <c r="CB23" i="6"/>
  <c r="CA8" i="6"/>
  <c r="CA9" i="6"/>
  <c r="CA11" i="6"/>
  <c r="CA13" i="6"/>
  <c r="CA15" i="6"/>
  <c r="CA16" i="6"/>
  <c r="CA17" i="6"/>
  <c r="CA18" i="6"/>
  <c r="CA20" i="6"/>
  <c r="CA21" i="6"/>
  <c r="CA23" i="6"/>
  <c r="CA24" i="6"/>
  <c r="CA25" i="6"/>
  <c r="CD25" i="6" s="1"/>
  <c r="CA26" i="6"/>
  <c r="CA27" i="6"/>
  <c r="CD27" i="6" s="1"/>
  <c r="CA29" i="6"/>
  <c r="CA31" i="6"/>
  <c r="CA32" i="6"/>
  <c r="CD32" i="6" s="1"/>
  <c r="CA34" i="6"/>
  <c r="CD34" i="6" s="1"/>
  <c r="CA35" i="6"/>
  <c r="CA40" i="6"/>
  <c r="CD40" i="6" s="1"/>
  <c r="CA42" i="6"/>
  <c r="CD42" i="6" s="1"/>
  <c r="CA43" i="6"/>
  <c r="CA47" i="6"/>
  <c r="CA48" i="6"/>
  <c r="CD48" i="6" s="1"/>
  <c r="CA49" i="6"/>
  <c r="CD49" i="6" s="1"/>
  <c r="CA52" i="6"/>
  <c r="CD52" i="6" s="1"/>
  <c r="CA54" i="6"/>
  <c r="CD54" i="6" s="1"/>
  <c r="CA59" i="6"/>
  <c r="CA63" i="6"/>
  <c r="CB19" i="6"/>
  <c r="CB11" i="6"/>
  <c r="CC21" i="6"/>
  <c r="CC18" i="6"/>
  <c r="CB8" i="6"/>
  <c r="CB9" i="6"/>
  <c r="CB10" i="6"/>
  <c r="CB13" i="6"/>
  <c r="CB17" i="6"/>
  <c r="CB58" i="6"/>
  <c r="CD58" i="6" s="1"/>
  <c r="CC10" i="6"/>
  <c r="CC12" i="6"/>
  <c r="CC14" i="6"/>
  <c r="CC16" i="6"/>
  <c r="CC63" i="6"/>
  <c r="CD61" i="6"/>
  <c r="CC59" i="6"/>
  <c r="CA57" i="6"/>
  <c r="CD57" i="6" s="1"/>
  <c r="CC55" i="6"/>
  <c r="CA53" i="6"/>
  <c r="CD53" i="6" s="1"/>
  <c r="CA50" i="6"/>
  <c r="CD50" i="6" s="1"/>
  <c r="CC47" i="6"/>
  <c r="CA45" i="6"/>
  <c r="CD45" i="6" s="1"/>
  <c r="CC43" i="6"/>
  <c r="CA41" i="6"/>
  <c r="CD41" i="6" s="1"/>
  <c r="CC39" i="6"/>
  <c r="CA37" i="6"/>
  <c r="CD37" i="6" s="1"/>
  <c r="CC35" i="6"/>
  <c r="CA33" i="6"/>
  <c r="CD33" i="6" s="1"/>
  <c r="CC31" i="6"/>
  <c r="CA28" i="6"/>
  <c r="CD28" i="6" s="1"/>
  <c r="CC26" i="6"/>
  <c r="CC24" i="6"/>
  <c r="CA22" i="6"/>
  <c r="CD22" i="6" s="1"/>
  <c r="CC20" i="6"/>
  <c r="CB63" i="6"/>
  <c r="CB59" i="6"/>
  <c r="CD29" i="6" l="1"/>
  <c r="CD23" i="6"/>
  <c r="CD15" i="6"/>
  <c r="CD47" i="6"/>
  <c r="CD39" i="6"/>
  <c r="CD31" i="6"/>
  <c r="CD26" i="6"/>
  <c r="CD21" i="6"/>
  <c r="CD16" i="6"/>
  <c r="CD9" i="6"/>
  <c r="CD55" i="6"/>
  <c r="CD63" i="6"/>
  <c r="CD43" i="6"/>
  <c r="CD35" i="6"/>
  <c r="CD20" i="6"/>
  <c r="CD8" i="6"/>
  <c r="CD30" i="6"/>
  <c r="CD59" i="6"/>
  <c r="CD24" i="6"/>
  <c r="CD18" i="6"/>
  <c r="CD13" i="6"/>
  <c r="CD19" i="6"/>
  <c r="CD14" i="6"/>
  <c r="CD17" i="6"/>
  <c r="CD11" i="6"/>
  <c r="CD12" i="6"/>
  <c r="CD10" i="6"/>
  <c r="BZ19" i="2"/>
  <c r="BY19" i="2"/>
  <c r="BX19" i="2"/>
  <c r="BW19" i="2"/>
  <c r="BV19" i="2"/>
  <c r="BU19" i="2"/>
  <c r="BT19" i="2"/>
  <c r="BS19" i="2"/>
  <c r="BR19" i="2"/>
  <c r="BQ19" i="2"/>
  <c r="BP19" i="2"/>
  <c r="BO19" i="2"/>
  <c r="BN19" i="2"/>
  <c r="BM19" i="2"/>
  <c r="BL19" i="2"/>
  <c r="BK19" i="2"/>
  <c r="BJ19" i="2"/>
  <c r="BI19" i="2"/>
  <c r="BH19" i="2"/>
  <c r="BG19" i="2"/>
  <c r="BF19" i="2"/>
  <c r="BE19" i="2"/>
  <c r="BD19" i="2"/>
  <c r="BC19" i="2"/>
  <c r="BZ18" i="2"/>
  <c r="BY18" i="2"/>
  <c r="BX18" i="2"/>
  <c r="BW18" i="2"/>
  <c r="BV18" i="2"/>
  <c r="BU18" i="2"/>
  <c r="BT18" i="2"/>
  <c r="BS18" i="2"/>
  <c r="BR18" i="2"/>
  <c r="BQ18" i="2"/>
  <c r="BP18" i="2"/>
  <c r="BO18" i="2"/>
  <c r="BN18" i="2"/>
  <c r="BM18" i="2"/>
  <c r="BL18" i="2"/>
  <c r="BK18" i="2"/>
  <c r="BJ18" i="2"/>
  <c r="BI18" i="2"/>
  <c r="BH18" i="2"/>
  <c r="BG18" i="2"/>
  <c r="BF18" i="2"/>
  <c r="BE18" i="2"/>
  <c r="BD18" i="2"/>
  <c r="BC18" i="2"/>
  <c r="BZ17" i="2"/>
  <c r="BY17" i="2"/>
  <c r="BX17" i="2"/>
  <c r="BW17" i="2"/>
  <c r="BV17" i="2"/>
  <c r="BU17" i="2"/>
  <c r="BT17" i="2"/>
  <c r="BS17" i="2"/>
  <c r="BR17" i="2"/>
  <c r="BQ17" i="2"/>
  <c r="BP17" i="2"/>
  <c r="BO17" i="2"/>
  <c r="BN17" i="2"/>
  <c r="BM17" i="2"/>
  <c r="BL17" i="2"/>
  <c r="BK17" i="2"/>
  <c r="BJ17" i="2"/>
  <c r="BI17" i="2"/>
  <c r="BH17" i="2"/>
  <c r="BG17" i="2"/>
  <c r="BF17" i="2"/>
  <c r="BE17" i="2"/>
  <c r="BD17" i="2"/>
  <c r="BC17" i="2"/>
  <c r="BZ16" i="2"/>
  <c r="BY16" i="2"/>
  <c r="BX16" i="2"/>
  <c r="BW16" i="2"/>
  <c r="BV16" i="2"/>
  <c r="BU16" i="2"/>
  <c r="BT16" i="2"/>
  <c r="BS16" i="2"/>
  <c r="BR16" i="2"/>
  <c r="BQ16" i="2"/>
  <c r="BP16" i="2"/>
  <c r="BO16" i="2"/>
  <c r="BN16" i="2"/>
  <c r="BM16" i="2"/>
  <c r="BL16" i="2"/>
  <c r="BK16" i="2"/>
  <c r="BJ16" i="2"/>
  <c r="BI16" i="2"/>
  <c r="BH16" i="2"/>
  <c r="BG16" i="2"/>
  <c r="BF16" i="2"/>
  <c r="BE16" i="2"/>
  <c r="BD16" i="2"/>
  <c r="BC16" i="2"/>
  <c r="BZ15" i="2"/>
  <c r="BY15" i="2"/>
  <c r="BX15" i="2"/>
  <c r="BW15" i="2"/>
  <c r="BV15" i="2"/>
  <c r="BU15" i="2"/>
  <c r="BT15" i="2"/>
  <c r="BS15" i="2"/>
  <c r="BR15" i="2"/>
  <c r="BQ15" i="2"/>
  <c r="BP15" i="2"/>
  <c r="BO15" i="2"/>
  <c r="BN15" i="2"/>
  <c r="BM15" i="2"/>
  <c r="BL15" i="2"/>
  <c r="BK15" i="2"/>
  <c r="BJ15" i="2"/>
  <c r="BI15" i="2"/>
  <c r="BH15" i="2"/>
  <c r="BG15" i="2"/>
  <c r="BF15" i="2"/>
  <c r="BE15" i="2"/>
  <c r="BD15" i="2"/>
  <c r="BC15" i="2"/>
  <c r="BZ14" i="2"/>
  <c r="BY14" i="2"/>
  <c r="BX14" i="2"/>
  <c r="BW14" i="2"/>
  <c r="BV14" i="2"/>
  <c r="BU14" i="2"/>
  <c r="BT14" i="2"/>
  <c r="BS14" i="2"/>
  <c r="BR14" i="2"/>
  <c r="BQ14" i="2"/>
  <c r="BP14" i="2"/>
  <c r="BO14" i="2"/>
  <c r="BN14" i="2"/>
  <c r="BM14" i="2"/>
  <c r="BL14" i="2"/>
  <c r="BK14" i="2"/>
  <c r="BJ14" i="2"/>
  <c r="BI14" i="2"/>
  <c r="BH14" i="2"/>
  <c r="BG14" i="2"/>
  <c r="BF14" i="2"/>
  <c r="BE14" i="2"/>
  <c r="BD14" i="2"/>
  <c r="BC14" i="2"/>
  <c r="BZ13" i="2"/>
  <c r="BY13" i="2"/>
  <c r="BX13" i="2"/>
  <c r="BW13" i="2"/>
  <c r="BV13" i="2"/>
  <c r="BU13" i="2"/>
  <c r="BT13" i="2"/>
  <c r="BS13" i="2"/>
  <c r="BR13" i="2"/>
  <c r="BQ13" i="2"/>
  <c r="BP13" i="2"/>
  <c r="BO13" i="2"/>
  <c r="BN13" i="2"/>
  <c r="BM13" i="2"/>
  <c r="BL13" i="2"/>
  <c r="BK13" i="2"/>
  <c r="BJ13" i="2"/>
  <c r="BI13" i="2"/>
  <c r="BH13" i="2"/>
  <c r="BG13" i="2"/>
  <c r="BF13" i="2"/>
  <c r="BE13" i="2"/>
  <c r="BD13" i="2"/>
  <c r="BC13" i="2"/>
  <c r="BZ12" i="2"/>
  <c r="BY12" i="2"/>
  <c r="BX12" i="2"/>
  <c r="BW12" i="2"/>
  <c r="BV12" i="2"/>
  <c r="BU12" i="2"/>
  <c r="BT12" i="2"/>
  <c r="BS12" i="2"/>
  <c r="BR12" i="2"/>
  <c r="BQ12" i="2"/>
  <c r="BP12" i="2"/>
  <c r="BO12" i="2"/>
  <c r="BN12" i="2"/>
  <c r="BM12" i="2"/>
  <c r="BL12" i="2"/>
  <c r="BK12" i="2"/>
  <c r="BJ12" i="2"/>
  <c r="BI12" i="2"/>
  <c r="BH12" i="2"/>
  <c r="BG12" i="2"/>
  <c r="BF12" i="2"/>
  <c r="BE12" i="2"/>
  <c r="BD12" i="2"/>
  <c r="BC12" i="2"/>
  <c r="BZ11" i="2"/>
  <c r="BY11" i="2"/>
  <c r="BX11" i="2"/>
  <c r="BW11" i="2"/>
  <c r="BV11" i="2"/>
  <c r="BU11" i="2"/>
  <c r="BT11" i="2"/>
  <c r="BS11" i="2"/>
  <c r="BR11" i="2"/>
  <c r="BQ11" i="2"/>
  <c r="BP11" i="2"/>
  <c r="BO11" i="2"/>
  <c r="BN11" i="2"/>
  <c r="BM11" i="2"/>
  <c r="BL11" i="2"/>
  <c r="BK11" i="2"/>
  <c r="BJ11" i="2"/>
  <c r="BI11" i="2"/>
  <c r="BH11" i="2"/>
  <c r="BG11" i="2"/>
  <c r="BF11" i="2"/>
  <c r="BE11" i="2"/>
  <c r="BD11" i="2"/>
  <c r="BC11" i="2"/>
  <c r="BZ10" i="2"/>
  <c r="BY10" i="2"/>
  <c r="BX10" i="2"/>
  <c r="BW10" i="2"/>
  <c r="CA10" i="2" s="1"/>
  <c r="BV10" i="2"/>
  <c r="BU10" i="2"/>
  <c r="BT10" i="2"/>
  <c r="BS10" i="2"/>
  <c r="BR10" i="2"/>
  <c r="BQ10" i="2"/>
  <c r="BP10" i="2"/>
  <c r="BO10" i="2"/>
  <c r="BN10" i="2"/>
  <c r="BM10" i="2"/>
  <c r="BL10" i="2"/>
  <c r="BK10" i="2"/>
  <c r="BJ10" i="2"/>
  <c r="BI10" i="2"/>
  <c r="BH10" i="2"/>
  <c r="BG10" i="2"/>
  <c r="BF10" i="2"/>
  <c r="BE10" i="2"/>
  <c r="BD10" i="2"/>
  <c r="BC10" i="2"/>
  <c r="BZ9" i="2"/>
  <c r="BY9" i="2"/>
  <c r="BX9" i="2"/>
  <c r="BW9" i="2"/>
  <c r="CA9" i="2" s="1"/>
  <c r="BV9" i="2"/>
  <c r="BU9" i="2"/>
  <c r="BT9" i="2"/>
  <c r="BS9" i="2"/>
  <c r="BR9" i="2"/>
  <c r="BQ9" i="2"/>
  <c r="BP9" i="2"/>
  <c r="BO9" i="2"/>
  <c r="BN9" i="2"/>
  <c r="BM9" i="2"/>
  <c r="BL9" i="2"/>
  <c r="BK9" i="2"/>
  <c r="BJ9" i="2"/>
  <c r="BI9" i="2"/>
  <c r="BH9" i="2"/>
  <c r="BG9" i="2"/>
  <c r="BF9" i="2"/>
  <c r="BE9" i="2"/>
  <c r="BD9" i="2"/>
  <c r="BC9" i="2"/>
  <c r="BZ8" i="2"/>
  <c r="BY8" i="2"/>
  <c r="BX8" i="2"/>
  <c r="BW8" i="2"/>
  <c r="BV8" i="2"/>
  <c r="BU8" i="2"/>
  <c r="BT8" i="2"/>
  <c r="BS8" i="2"/>
  <c r="BR8" i="2"/>
  <c r="BQ8" i="2"/>
  <c r="BP8" i="2"/>
  <c r="BO8" i="2"/>
  <c r="BN8" i="2"/>
  <c r="BM8" i="2"/>
  <c r="BL8" i="2"/>
  <c r="BK8" i="2"/>
  <c r="BJ8" i="2"/>
  <c r="BI8" i="2"/>
  <c r="BH8" i="2"/>
  <c r="BG8" i="2"/>
  <c r="BF8" i="2"/>
  <c r="BE8" i="2"/>
  <c r="BD8" i="2"/>
  <c r="BC8" i="2"/>
  <c r="BZ7" i="2"/>
  <c r="BY7" i="2"/>
  <c r="BX7" i="2"/>
  <c r="BW7" i="2"/>
  <c r="CA7" i="2" s="1"/>
  <c r="BV7" i="2"/>
  <c r="BU7" i="2"/>
  <c r="BT7" i="2"/>
  <c r="BS7" i="2"/>
  <c r="BR7" i="2"/>
  <c r="BQ7" i="2"/>
  <c r="BP7" i="2"/>
  <c r="BO7" i="2"/>
  <c r="BN7" i="2"/>
  <c r="BM7" i="2"/>
  <c r="BL7" i="2"/>
  <c r="BK7" i="2"/>
  <c r="BJ7" i="2"/>
  <c r="BI7" i="2"/>
  <c r="BH7" i="2"/>
  <c r="BG7" i="2"/>
  <c r="BF7" i="2"/>
  <c r="BE7" i="2"/>
  <c r="BD7" i="2"/>
  <c r="BC7" i="2"/>
  <c r="CA12" i="2" l="1"/>
  <c r="CA13" i="2"/>
  <c r="CA14" i="2"/>
  <c r="CA15" i="2"/>
  <c r="CA16" i="2"/>
  <c r="CA17" i="2"/>
  <c r="CA18" i="2"/>
  <c r="CA19" i="2"/>
  <c r="CA8" i="2"/>
  <c r="CA11" i="2"/>
  <c r="AL7" i="1"/>
  <c r="AK7" i="1"/>
  <c r="AJ7" i="1"/>
  <c r="AI7" i="1"/>
  <c r="H7" i="1"/>
  <c r="AL6" i="1"/>
  <c r="AK6" i="1"/>
  <c r="AJ6" i="1"/>
  <c r="AI6" i="1"/>
  <c r="H6" i="1"/>
  <c r="AL5" i="1"/>
  <c r="AK5" i="1"/>
  <c r="AJ5" i="1"/>
  <c r="AI5" i="1"/>
  <c r="H5" i="1"/>
  <c r="AL4" i="1"/>
  <c r="AK4" i="1"/>
  <c r="AJ4" i="1"/>
  <c r="AI4" i="1"/>
  <c r="H4" i="1"/>
</calcChain>
</file>

<file path=xl/sharedStrings.xml><?xml version="1.0" encoding="utf-8"?>
<sst xmlns="http://schemas.openxmlformats.org/spreadsheetml/2006/main" count="1929" uniqueCount="749">
  <si>
    <t>normalized20M</t>
  </si>
  <si>
    <t>Name</t>
  </si>
  <si>
    <t>baseMean</t>
  </si>
  <si>
    <t>log2FoldChange</t>
  </si>
  <si>
    <t>lfcSE</t>
  </si>
  <si>
    <t>stat</t>
  </si>
  <si>
    <t>pvalue</t>
  </si>
  <si>
    <t>annot</t>
  </si>
  <si>
    <t>Locus</t>
  </si>
  <si>
    <t>Length</t>
  </si>
  <si>
    <t>Reads</t>
  </si>
  <si>
    <t>RPM</t>
  </si>
  <si>
    <t>UniqueReads</t>
  </si>
  <si>
    <t>FracTop</t>
  </si>
  <si>
    <t>Strand</t>
  </si>
  <si>
    <t>MajorRNA</t>
  </si>
  <si>
    <t>MajorRNAReads</t>
  </si>
  <si>
    <t>Complexity</t>
  </si>
  <si>
    <t>DicerCall</t>
  </si>
  <si>
    <t>MIRNA</t>
  </si>
  <si>
    <t>PhaseScore</t>
  </si>
  <si>
    <t>Short</t>
  </si>
  <si>
    <t>Long</t>
  </si>
  <si>
    <t>X20</t>
  </si>
  <si>
    <t>X21</t>
  </si>
  <si>
    <t>X22</t>
  </si>
  <si>
    <t>X23</t>
  </si>
  <si>
    <t>X24</t>
  </si>
  <si>
    <t>main</t>
  </si>
  <si>
    <t>1_CGATGT-trim-TEsrt25S</t>
  </si>
  <si>
    <t>2_CGGAAT-trim-TEsrt25S</t>
  </si>
  <si>
    <t>3_GATCAG-trim-TEsrt25S</t>
  </si>
  <si>
    <t>4_TCATTC-trim-TEsrt25S</t>
  </si>
  <si>
    <t>Cluster_32423</t>
  </si>
  <si>
    <t>vvi-miR5225</t>
  </si>
  <si>
    <t>NC_012023.3_Vitis_vinifera_cultivar_PN40024_chromosome_17,_12X,_whole_genome_shotgun_sequence:5927854-5927954</t>
  </si>
  <si>
    <t>+</t>
  </si>
  <si>
    <t>UCCCAGGAGAGAUGGCACCUGC</t>
  </si>
  <si>
    <t>N13</t>
  </si>
  <si>
    <t>Cluster_23852</t>
  </si>
  <si>
    <t>vvi-MIR160e</t>
  </si>
  <si>
    <t>NC_012019.3_Vitis_vinifera_cultivar_PN40024_chromosome_13,_12X,_whole_genome_shotgun_sequence:5447922-5448033</t>
  </si>
  <si>
    <t>GCGUAUGAGGAGCCAUGCAUA</t>
  </si>
  <si>
    <t>Y</t>
  </si>
  <si>
    <t>Cluster_24562</t>
  </si>
  <si>
    <t>miR482trigger.</t>
  </si>
  <si>
    <t>NC_012019.3_Vitis_vinifera_cultivar_PN40024_chromosome_13,_12X,_whole_genome_shotgun_sequence:15496204-15497757</t>
  </si>
  <si>
    <t>.</t>
  </si>
  <si>
    <t>UCGGAUAAAGGGUUAUACUUC</t>
  </si>
  <si>
    <t>N5</t>
  </si>
  <si>
    <t>filerow</t>
  </si>
  <si>
    <t>noUV1</t>
  </si>
  <si>
    <t>noUV2</t>
  </si>
  <si>
    <t>plusUV1</t>
  </si>
  <si>
    <t>plusUV2</t>
  </si>
  <si>
    <t>raw Counts</t>
  </si>
  <si>
    <t>Cluster_32367</t>
  </si>
  <si>
    <t>vvi-MIR482</t>
  </si>
  <si>
    <t>NC_012023.3_Vitis_vinifera_cultivar_PN40024_chromosome_17,_12X,_whole_genome_shotgun_sequence:5522830-5523995</t>
  </si>
  <si>
    <t>UCUUUCCUACUCCUCCCAUUCC</t>
  </si>
  <si>
    <t>total clean reads</t>
  </si>
  <si>
    <t>span5_cat_cleancomplete</t>
  </si>
  <si>
    <t>X9_TAGCTT.trim.TEsrt25S</t>
  </si>
  <si>
    <t>X13_GTGAAA.trim.TEsrt25S</t>
  </si>
  <si>
    <t>X17_GTCCGC.trim.TEsrt25S</t>
  </si>
  <si>
    <t>X7_ACTTGA.trim.TEsrt25S</t>
  </si>
  <si>
    <t>X11_GGCTAC.trim.TEsrt25S</t>
  </si>
  <si>
    <t>X15_GTGGCC.trim.TEsrt25S</t>
  </si>
  <si>
    <t>X19_CGTACG.trim.TEsrt25S</t>
  </si>
  <si>
    <t>X21_ATCACG.trim.TEsrt25S</t>
  </si>
  <si>
    <t>X25_TGACCA.trim.TEsrt25S</t>
  </si>
  <si>
    <t>X29_AGTCAA.trim.TEsrt25S</t>
  </si>
  <si>
    <t>X33_GAGTGG.trim.TEsrt25S</t>
  </si>
  <si>
    <t>X23_TTAGGC.trim.TEsrt25S</t>
  </si>
  <si>
    <t>X27_ACAGTG.trim.TEsrt25S</t>
  </si>
  <si>
    <t>X31_AGTTCC.trim.TEsrt25S</t>
  </si>
  <si>
    <t>X35_GGTAGC.trim.TEsrt25S</t>
  </si>
  <si>
    <t>X37_CCGTCC.trim.TEsrt25S</t>
  </si>
  <si>
    <t>X41_GCCAAT.trim.TEsrt25S</t>
  </si>
  <si>
    <t>X45_ATGTCA.trim.TEsrt25S</t>
  </si>
  <si>
    <t>X588_AGTCAA_span49.trim18.TEsrt25S</t>
  </si>
  <si>
    <t>X39_GTAGAG.trim.TEsrt25S</t>
  </si>
  <si>
    <t>X43_CTTGTA.trim.TEsrt25S</t>
  </si>
  <si>
    <t>X47_GTTTCG.trim.TEsrt25S</t>
  </si>
  <si>
    <t>newspan51.miseq.trim18.25S.trsTE</t>
  </si>
  <si>
    <t>Cluster_32517</t>
  </si>
  <si>
    <t>vvi-MIR395n_maj_sp_offset9nt3'_mature</t>
  </si>
  <si>
    <t>NC_012023.3_Vitis_vinifera_cultivar_PN40024_chromosome_17,_12X,_whole_genome_shotgun_sequence:6408985-6409131</t>
  </si>
  <si>
    <t>-</t>
  </si>
  <si>
    <t>UUUGGAGGAACUCUUGGUGCC</t>
  </si>
  <si>
    <t>N15</t>
  </si>
  <si>
    <t>Cluster_28062</t>
  </si>
  <si>
    <t>vvi-MIR3627</t>
  </si>
  <si>
    <t>NC_012020.3_Vitis_vinifera_cultivar_PN40024_chromosome_14,_12X,_whole_genome_shotgun_sequence:28302570-28302659</t>
  </si>
  <si>
    <t>CUUGUCACAGGAGAGCGGCGA</t>
  </si>
  <si>
    <t>N6</t>
  </si>
  <si>
    <t>Cluster_13991</t>
  </si>
  <si>
    <t>vvi-MIR535c-likely(highexpression)_could_535a_ambig_map</t>
  </si>
  <si>
    <t>NW_003724168.1_Vitis_vinifera_cultivar_PN40024_chromosome_7_unlocalized_genomic_scaffold,_12X_scaffold_161.assembly12x,_whole_genome_shotgun_sequence:387666-387808</t>
  </si>
  <si>
    <t>UGACAACGAGAGAGAGCACGC</t>
  </si>
  <si>
    <t>Cluster_14246</t>
  </si>
  <si>
    <t>NC_012014.3_Vitis_vinifera_cultivar_PN40024_chromosome_8,_12X,_whole_genome_shotgun_sequence:2139056-2139533</t>
  </si>
  <si>
    <t>AGUAGUAUGCUGCUGCCCUGA</t>
  </si>
  <si>
    <t>Cluster_21674</t>
  </si>
  <si>
    <t>vvi-MIR171b</t>
  </si>
  <si>
    <t>NC_012018.3_Vitis_vinifera_cultivar_PN40024_chromosome_12,_12X,_whole_genome_shotgun_sequence:5542345-5542534</t>
  </si>
  <si>
    <t>UUGAGCCGCGUCAAUAUCUCC</t>
  </si>
  <si>
    <t>Cluster_27299</t>
  </si>
  <si>
    <t>TAS4b_majspD4minus</t>
  </si>
  <si>
    <t>NC_012020.3_Vitis_vinifera_cultivar_PN40024_chromosome_14,_12X,_whole_genome_shotgun_sequence:21534542-21535069</t>
  </si>
  <si>
    <t>UGAAGGUCCGAGGUAGAGGCA</t>
  </si>
  <si>
    <t>Cluster_22551</t>
  </si>
  <si>
    <t>NC_012018.3_Vitis_vinifera_cultivar_PN40024_chromosome_12,_12X,_whole_genome_shotgun_sequence:17318775-17320007</t>
  </si>
  <si>
    <t>UGGGAUGGGAAAUUGUUCGGC</t>
  </si>
  <si>
    <t>Cluster_2386</t>
  </si>
  <si>
    <t>vvi-MIR477b</t>
  </si>
  <si>
    <t>NC_012008.3_Vitis_vinifera_cultivar_PN40024_chromosome_2,_12X,_whole_genome_shotgun_sequence:1237520-1237866</t>
  </si>
  <si>
    <t>GAAGCUCUUGAGGGGGACUG</t>
  </si>
  <si>
    <t>Cluster_11664</t>
  </si>
  <si>
    <t>NC_012012.3_Vitis_vinifera_cultivar_PN40024_chromosome_6,_12X,_whole_genome_shotgun_sequence:17896016-17896161</t>
  </si>
  <si>
    <t>UCUGCAUUUGCACCUGCACCU</t>
  </si>
  <si>
    <t>Cluster_27875</t>
  </si>
  <si>
    <t>vvi-MIR156f</t>
  </si>
  <si>
    <t>NC_012020.3_Vitis_vinifera_cultivar_PN40024_chromosome_14,_12X,_whole_genome_shotgun_sequence:26463634-26463840</t>
  </si>
  <si>
    <t>UUGACAGAAGAUAGAGAGCAC</t>
  </si>
  <si>
    <t>Cluster_1414</t>
  </si>
  <si>
    <t>NC_012007.3_Vitis_vinifera_cultivar_PN40024_chromosome_1,_12X,_whole_genome_shotgun_sequence:13356141-13357440</t>
  </si>
  <si>
    <t>CAUUAAAAGAUGGAGGCUGCA</t>
  </si>
  <si>
    <t>Cluster_10483</t>
  </si>
  <si>
    <t>vvi-miR4376</t>
  </si>
  <si>
    <t>NC_012012.3_Vitis_vinifera_cultivar_PN40024_chromosome_6,_12X,_whole_genome_shotgun_sequence:3976346-3976502</t>
  </si>
  <si>
    <t>UCGCAGGAGAGAUGACGCCGU</t>
  </si>
  <si>
    <t>Cluster_2344</t>
  </si>
  <si>
    <t>vvi-MIR319c</t>
  </si>
  <si>
    <t>NC_012008.3_Vitis_vinifera_cultivar_PN40024_chromosome_2,_12X,_whole_genome_shotgun_sequence:855544-855757</t>
  </si>
  <si>
    <t>UUGGACUGAAGGGAGCUCCC</t>
  </si>
  <si>
    <t>total clean counts</t>
  </si>
  <si>
    <t>no UV</t>
  </si>
  <si>
    <t>plus UV</t>
  </si>
  <si>
    <t>UV?</t>
  </si>
  <si>
    <t>UV fluence</t>
  </si>
  <si>
    <t>High</t>
  </si>
  <si>
    <t>Low</t>
  </si>
  <si>
    <t xml:space="preserve">Field </t>
  </si>
  <si>
    <t>minus3</t>
  </si>
  <si>
    <t>veraison</t>
  </si>
  <si>
    <t>plus3</t>
  </si>
  <si>
    <t>plus6</t>
  </si>
  <si>
    <t>berry devt stage</t>
  </si>
  <si>
    <t>raw ShortStack counts</t>
  </si>
  <si>
    <t>normalized to 20M reads</t>
  </si>
  <si>
    <t>unknown phasitrigger. target=unannotatedPPR; VIT_11s0016g02500 encoding PPR-DYW_deaminase-like with 28 paralogues.</t>
  </si>
  <si>
    <t>phasitrigger D6+ of vvi-slyTAS5-like chr:20665102-20666018; targets VIT12s0034g01310 LRR with 25 paralogues</t>
  </si>
  <si>
    <t>Cluster_2740</t>
  </si>
  <si>
    <t>vvi-MIR399i</t>
  </si>
  <si>
    <t>NC_012008.3_Vitis_vinifera_cultivar_PN40024_chromosome_2,_12X,_whole_genome_shotgun_sequence:4101751-4101930</t>
  </si>
  <si>
    <t>CGCCAAAGGAGAGUUGCCCUG</t>
  </si>
  <si>
    <t>NA</t>
  </si>
  <si>
    <t>Cluster_39236</t>
  </si>
  <si>
    <t>vvi-MIR167c</t>
  </si>
  <si>
    <t>NW_003724203.1_Vitis_vinifera_cultivar_PN40024_unplaced_genomic_scaffold,_12X_scaffold_179.assembly12x,_whole_genome_shotgun_sequence:260012-260098</t>
  </si>
  <si>
    <t>UGAAGCUGCCAGCAUGAUCUC</t>
  </si>
  <si>
    <t>Cluster_11876</t>
  </si>
  <si>
    <t>novel_vvi-477c</t>
  </si>
  <si>
    <t>NC_012012.3_Vitis_vinifera_cultivar_PN40024_chromosome_6,_12X,_whole_genome_shotgun_sequence:19950746-19950825</t>
  </si>
  <si>
    <t>GCUGGAAGCCGAUGGGGGACC</t>
  </si>
  <si>
    <t>Cluster_38020</t>
  </si>
  <si>
    <t>novel_vvi-477e</t>
  </si>
  <si>
    <t>NC_012025.3_Vitis_vinifera_cultivar_PN40024_chromosome_19,_12X,_whole_genome_shotgun_sequence:18872714-18872817</t>
  </si>
  <si>
    <t>GUUGGAAGUCGGUGGGGGACC</t>
  </si>
  <si>
    <t>Cluster_30723</t>
  </si>
  <si>
    <t>vvi-MIR3640</t>
  </si>
  <si>
    <t>NC_012022.3_Vitis_vinifera_cultivar_PN40024_chromosome_16,_12X,_whole_genome_shotgun_sequence:11986630-11987485</t>
  </si>
  <si>
    <t>GAAAAGGCAUCAUCAAUCAGGUAA</t>
  </si>
  <si>
    <t>Cluster_40603</t>
  </si>
  <si>
    <t>NW_003724240.1_Vitis_vinifera_cultivar_PN40024_unplaced_genomic_scaffold,_12X_scaffold_240.assembly12x,_whole_genome_shotgun_sequence:155262-155680</t>
  </si>
  <si>
    <t>GUUGGAAGCCGGUGGGGGACC</t>
  </si>
  <si>
    <t>Cluster_13281</t>
  </si>
  <si>
    <t>vvi-MIR2950</t>
  </si>
  <si>
    <t>NC_012013.3_Vitis_vinifera_cultivar_PN40024_chromosome_7,_12X,_whole_genome_shotgun_sequence:14340192-14340976</t>
  </si>
  <si>
    <t>UGGUGUGCACGGGAUGGAAUA</t>
  </si>
  <si>
    <t>Cluster_16291</t>
  </si>
  <si>
    <t>Pant1200_majsp_D3plus</t>
  </si>
  <si>
    <t>NC_012015.3_Vitis_vinifera_cultivar_PN40024_chromosome_9,_12X,_whole_genome_shotgun_sequence:1161752-1163111</t>
  </si>
  <si>
    <t>ACAAGAGGCUGCUCCAAACUU</t>
  </si>
  <si>
    <t>Cluster_11519</t>
  </si>
  <si>
    <t>vvi-MIR398b</t>
  </si>
  <si>
    <t>NC_012012.3_Vitis_vinifera_cultivar_PN40024_chromosome_6,_12X,_whole_genome_shotgun_sequence:16503503-16503672</t>
  </si>
  <si>
    <t>CAGGGGCGACCUGAGAACACA</t>
  </si>
  <si>
    <t>Cluster_12569</t>
  </si>
  <si>
    <t>vvi-MIR403f</t>
  </si>
  <si>
    <t>NC_012013.3_Vitis_vinifera_cultivar_PN40024_chromosome_7,_12X,_whole_genome_shotgun_sequence:4179528-4179828</t>
  </si>
  <si>
    <t>UUAGAUUCACGCACAAACUCG</t>
  </si>
  <si>
    <t>Cluster_38021</t>
  </si>
  <si>
    <t>NC_012025.3_Vitis_vinifera_cultivar_PN40024_chromosome_19,_12X,_whole_genome_shotgun_sequence:18881276-18881422</t>
  </si>
  <si>
    <t>Cluster_7870</t>
  </si>
  <si>
    <t>vvi-MIR403d</t>
  </si>
  <si>
    <t>NC_012011.3_Vitis_vinifera_cultivar_PN40024_chromosome_5,_12X,_whole_genome_shotgun_sequence:166367-166623</t>
  </si>
  <si>
    <t>Cluster_27520</t>
  </si>
  <si>
    <t>vvi-MIR3632</t>
  </si>
  <si>
    <t>NC_012020.3_Vitis_vinifera_cultivar_PN40024_chromosome_14,_12X,_whole_genome_shotgun_sequence:23394265-23396214</t>
  </si>
  <si>
    <t>UUUCCCAGACCCCCAAUACCAA</t>
  </si>
  <si>
    <t>Cluster_33996_P98</t>
  </si>
  <si>
    <t>vvi-MIR169c-5'phase</t>
  </si>
  <si>
    <t>NC_012010.3_Vitis_vinifera_cultivar_PN40024_chromosome_4,_12X,_whole_genome_shotgun_sequence:2265831-2266085</t>
  </si>
  <si>
    <t>UGUAGGGAGUAGAAUGCAGC</t>
  </si>
  <si>
    <t>N0</t>
  </si>
  <si>
    <t>Cluster_7846</t>
  </si>
  <si>
    <t>vvi-MIR403a</t>
  </si>
  <si>
    <t>NC_012011.3_Vitis_vinifera_cultivar_PN40024_chromosome_5,_12X,_whole_genome_shotgun_sequence:65250-65645</t>
  </si>
  <si>
    <t>N12</t>
  </si>
  <si>
    <t>Cluster_31652</t>
  </si>
  <si>
    <t>vvi-MIR479</t>
  </si>
  <si>
    <t>NC_012022.3_Vitis_vinifera_cultivar_PN40024_chromosome_16,_12X,_whole_genome_shotgun_sequence:21573750-21573982</t>
  </si>
  <si>
    <t>UGUGGUAUUGGUUCGGCUCAUC</t>
  </si>
  <si>
    <t>Cluster_12304</t>
  </si>
  <si>
    <t>NC_012013.3_Vitis_vinifera_cultivar_PN40024_chromosome_7,_12X,_whole_genome_shotgun_sequence:2558365-2558622</t>
  </si>
  <si>
    <t>UUUGACUGUGAUUUUAGGAAGCCU</t>
  </si>
  <si>
    <t>Cluster_17879</t>
  </si>
  <si>
    <t>NC_012015.3_Vitis_vinifera_cultivar_PN40024_chromosome_9,_12X,_whole_genome_shotgun_sequence:21823002-21823312</t>
  </si>
  <si>
    <t>UUGACUUCUGAAAAGCUAAAAGCU</t>
  </si>
  <si>
    <t>N14</t>
  </si>
  <si>
    <t>Cluster_7871</t>
  </si>
  <si>
    <t>vvi-MIR403e</t>
  </si>
  <si>
    <t>NC_012011.3_Vitis_vinifera_cultivar_PN40024_chromosome_5,_12X,_whole_genome_shotgun_sequence:168068-168285</t>
  </si>
  <si>
    <t>Cluster_25767</t>
  </si>
  <si>
    <t>novel-2</t>
  </si>
  <si>
    <t>NC_012020.3_Vitis_vinifera_cultivar_PN40024_chromosome_14,_12X,_whole_genome_shotgun_sequence:1404121-1404335</t>
  </si>
  <si>
    <t>AAACCGAGAUCGUCCAUUGAUUGG</t>
  </si>
  <si>
    <t>Cluster_38007</t>
  </si>
  <si>
    <t>novel_vvi-477d</t>
  </si>
  <si>
    <t>NC_012025.3_Vitis_vinifera_cultivar_PN40024_chromosome_19,_12X,_whole_genome_shotgun_sequence:18678360-18678432</t>
  </si>
  <si>
    <t>GUUGGAAGUCGGUGGGGGAAC</t>
  </si>
  <si>
    <t>Cluster_27316</t>
  </si>
  <si>
    <t>TAS4a_majspD1plus</t>
  </si>
  <si>
    <t>NC_012020.3_Vitis_vinifera_cultivar_PN40024_chromosome_14,_12X,_whole_genome_shotgun_sequence:21607803-21608825</t>
  </si>
  <si>
    <t>UUGAGCAAGAAAUUAUAAGCA</t>
  </si>
  <si>
    <t>Cluster_35083</t>
  </si>
  <si>
    <t>novel_aly-MIR3435-like</t>
  </si>
  <si>
    <t>NC_012024.3_Vitis_vinifera_cultivar_PN40024_chromosome_18,_12X,_whole_genome_shotgun_sequence:13887167-13887325</t>
  </si>
  <si>
    <t>CGUGAGCUCUAACAUCGGUGA</t>
  </si>
  <si>
    <t>Cluster_7938</t>
  </si>
  <si>
    <t>vvi-MIR403c</t>
  </si>
  <si>
    <t>NC_012011.3_Vitis_vinifera_cultivar_PN40024_chromosome_5,_12X,_whole_genome_shotgun_sequence:602544-603058</t>
  </si>
  <si>
    <t>Cluster_22557</t>
  </si>
  <si>
    <t>phasitrigger.VIT_12s0034g01350coding.LRR,23paralogues</t>
  </si>
  <si>
    <t>NC_012018.3_Vitis_vinifera_cultivar_PN40024_chromosome_12,_12X,_whole_genome_shotgun_sequence:17339376-17340418</t>
  </si>
  <si>
    <t>UAAGGAAUUAAACAAAGAUGA</t>
  </si>
  <si>
    <t>Cluster_23959</t>
  </si>
  <si>
    <t>vvi-MIR172b</t>
  </si>
  <si>
    <t>NC_012019.3_Vitis_vinifera_cultivar_PN40024_chromosome_13,_12X,_whole_genome_shotgun_sequence:6181298-6181485</t>
  </si>
  <si>
    <t>AGAAUCUUGAUGAUGCUGCAU</t>
  </si>
  <si>
    <t>Cluster_26443</t>
  </si>
  <si>
    <t>TAS-cand_miR7122trigger.VIT_14s0081g00100~300ntdownstreamofgrapeESTencoding57aapeptide</t>
  </si>
  <si>
    <t>NC_012020.3_Vitis_vinifera_cultivar_PN40024_chromosome_14,_12X,_whole_genome_shotgun_sequence:7642853-7644706</t>
  </si>
  <si>
    <t>ACAAGUGGAAUUCCAGAGGAA</t>
  </si>
  <si>
    <t>Cluster_33943</t>
  </si>
  <si>
    <t>vvi-MIR394c</t>
  </si>
  <si>
    <t>NC_012024.3_Vitis_vinifera_cultivar_PN40024_chromosome_18,_12X,_whole_genome_shotgun_sequence:3551163-3551374</t>
  </si>
  <si>
    <t>UUGGCAUUCUGUCCACCUCC</t>
  </si>
  <si>
    <t>Cluster_31005</t>
  </si>
  <si>
    <t>vvi-MIR399b</t>
  </si>
  <si>
    <t>NC_012022.3_Vitis_vinifera_cultivar_PN40024_chromosome_16,_12X,_whole_genome_shotgun_sequence:15618712-15618820</t>
  </si>
  <si>
    <t>UGCCAAAGGAGAGUUGCCCUG</t>
  </si>
  <si>
    <t>Cluster_717</t>
  </si>
  <si>
    <t>vvi-MIR395l</t>
  </si>
  <si>
    <t>NC_012007.3_Vitis_vinifera_cultivar_PN40024_chromosome_1,_12X,_whole_genome_shotgun_sequence:6559057-6559212</t>
  </si>
  <si>
    <t>CUGAAGUGUUUGGGGGAACUC</t>
  </si>
  <si>
    <t>Cluster_19769</t>
  </si>
  <si>
    <t>vvi-MIR319e</t>
  </si>
  <si>
    <t>NC_012017.3_Vitis_vinifera_cultivar_PN40024_chromosome_11,_12X,_whole_genome_shotgun_sequence:4317150-4317499</t>
  </si>
  <si>
    <t>UUUGGACUGAAGGGAGCUCCU</t>
  </si>
  <si>
    <t>Cluster_711</t>
  </si>
  <si>
    <t>vvi-MIR395b</t>
  </si>
  <si>
    <t>NC_012007.3_Vitis_vinifera_cultivar_PN40024_chromosome_1,_12X,_whole_genome_shotgun_sequence:6502518-6502791</t>
  </si>
  <si>
    <t>Cluster_9997</t>
  </si>
  <si>
    <t>nta-MIR827</t>
  </si>
  <si>
    <t>NC_012011.3_Vitis_vinifera_cultivar_PN40024_chromosome_5,_12X,_whole_genome_shotgun_sequence:24742087-24742287</t>
  </si>
  <si>
    <t>UUAGAUGAUCAUCAACAAACA</t>
  </si>
  <si>
    <t>Cluster_294</t>
  </si>
  <si>
    <t>TAS4c_2ntmmD4minus_perTIPS</t>
  </si>
  <si>
    <t>NC_012007.3_Vitis_vinifera_cultivar_PN40024_chromosome_1,_12X,_whole_genome_shotgun_sequence:2960325-2961696</t>
  </si>
  <si>
    <t>UGAAGGUCCAAGGUUGAGGCU</t>
  </si>
  <si>
    <t>Cluster_11457</t>
  </si>
  <si>
    <t>vvi-MIR398c</t>
  </si>
  <si>
    <t>NC_012012.3_Vitis_vinifera_cultivar_PN40024_chromosome_6,_12X,_whole_genome_shotgun_sequence:15575502-15575794</t>
  </si>
  <si>
    <t>Cluster_37330</t>
  </si>
  <si>
    <t>cs-MIR1515-like_bra-158-3p/gra-8744-like</t>
  </si>
  <si>
    <t>NC_012025.3_Vitis_vinifera_cultivar_PN40024_chromosome_19,_12X,_whole_genome_shotgun_sequence:7113014-7113099</t>
  </si>
  <si>
    <t>UUCCAAAAGUAGGAAAAGUACUUG</t>
  </si>
  <si>
    <t>Cluster_7937</t>
  </si>
  <si>
    <t>vvi-MIR403b</t>
  </si>
  <si>
    <t>NC_012011.3_Vitis_vinifera_cultivar_PN40024_chromosome_5,_12X,_whole_genome_shotgun_sequence:600189-600269</t>
  </si>
  <si>
    <t>9_TAGCTT-trim-TEsrt25S</t>
  </si>
  <si>
    <t>13_GTGAAA-trim-TEsrt25S</t>
  </si>
  <si>
    <t>17_GTCCGC-trim-TEsrt25S</t>
  </si>
  <si>
    <t>7_ACTTGA-trim-TEsrt25S</t>
  </si>
  <si>
    <t>11_GGCTAC-trim-TEsrt25S</t>
  </si>
  <si>
    <t>15_GTGGCC-trim-TEsrt25S</t>
  </si>
  <si>
    <t>19_CGTACG-trim-TEsrt25S</t>
  </si>
  <si>
    <t>21_ATCACG-trim-TEsrt25S</t>
  </si>
  <si>
    <t>25_TGACCA-trim-TEsrt25S</t>
  </si>
  <si>
    <t>29_AGTCAA-trim-TEsrt25S</t>
  </si>
  <si>
    <t>33_GAGTGG-trim-TEsrt25S</t>
  </si>
  <si>
    <t>23_TTAGGC-trim-TEsrt25S</t>
  </si>
  <si>
    <t>27_ACAGTG-trim-TEsrt25S</t>
  </si>
  <si>
    <t>31_AGTTCC-trim-TEsrt25S</t>
  </si>
  <si>
    <t>35_GGTAGC-trim-TEsrt25S</t>
  </si>
  <si>
    <t>37_CCGTCC-trim-TEsrt25S</t>
  </si>
  <si>
    <t>41_GCCAAT-trim-TEsrt25S</t>
  </si>
  <si>
    <t>45_ATGTCA-trim-TEsrt25S</t>
  </si>
  <si>
    <t>588_AGTCAA_span49-trim18-TEsrt25S</t>
  </si>
  <si>
    <t>39_GTAGAG-trim-TEsrt25S</t>
  </si>
  <si>
    <t>43_CTTGTA-trim-TEsrt25S</t>
  </si>
  <si>
    <t>47_GTTTCG-trim-TEsrt25S</t>
  </si>
  <si>
    <t>newspan51-miseq-trim18-25S-trsTE</t>
  </si>
  <si>
    <t>Cluster_36061</t>
  </si>
  <si>
    <t>5'UTR_VIT_18s0089g00510_66aapeptide.phasetank_phasiscore-notSS98</t>
  </si>
  <si>
    <t>Cluster_32969</t>
  </si>
  <si>
    <t>Pant5440_majsp_3'D4minus</t>
  </si>
  <si>
    <t>Cluster_14761</t>
  </si>
  <si>
    <t>vvi-MIR164c</t>
  </si>
  <si>
    <t>Cluster_27992</t>
  </si>
  <si>
    <t>Pant5669_majspD1plus_MYB156</t>
  </si>
  <si>
    <t>Cluster_14762</t>
  </si>
  <si>
    <t>vvi-MIR164c.2*</t>
  </si>
  <si>
    <t>Cluster_17040</t>
  </si>
  <si>
    <t>vvi-MIR396a</t>
  </si>
  <si>
    <t>Cluster_39015</t>
  </si>
  <si>
    <t>Pant6823_majspD3minus</t>
  </si>
  <si>
    <t>Cluster_14316</t>
  </si>
  <si>
    <t>vvi-MIR166a</t>
  </si>
  <si>
    <t>Cluster_19871</t>
  </si>
  <si>
    <t>vvi-MIR396b</t>
  </si>
  <si>
    <t>Cluster_3821</t>
  </si>
  <si>
    <t>vvi-MIR168</t>
  </si>
  <si>
    <t>Cluster_39868</t>
  </si>
  <si>
    <t>Cluster_32261</t>
  </si>
  <si>
    <t>vvi-MIR162</t>
  </si>
  <si>
    <t>Cluster_22607</t>
  </si>
  <si>
    <t>vvi-MIR166b</t>
  </si>
  <si>
    <t>Cluster_20147</t>
  </si>
  <si>
    <t>vvi-MIR156d</t>
  </si>
  <si>
    <t>Cluster_31215</t>
  </si>
  <si>
    <t>vvi-MIR393a</t>
  </si>
  <si>
    <t>Cluster_39587</t>
  </si>
  <si>
    <t>Cluster_32593</t>
  </si>
  <si>
    <t>vvi-MIR3630</t>
  </si>
  <si>
    <t>Cluster_26945</t>
  </si>
  <si>
    <t>Cluster_15051</t>
  </si>
  <si>
    <t>vvi-MIR172d</t>
  </si>
  <si>
    <t>Cluster_12280</t>
  </si>
  <si>
    <t>miR393_trigger.TIR1-like.VIT_07s0104g01320.allen0,degrad3,p=0.003</t>
  </si>
  <si>
    <t>Cluster_21661</t>
  </si>
  <si>
    <t>vvi-MIR171c</t>
  </si>
  <si>
    <t>Cluster_11758</t>
  </si>
  <si>
    <t>Cluster_32396</t>
  </si>
  <si>
    <t>Cluster_15773</t>
  </si>
  <si>
    <t>Cluster_719</t>
  </si>
  <si>
    <t>vvi-MIR395h</t>
  </si>
  <si>
    <t>Cluster_603</t>
  </si>
  <si>
    <t>Cluster_23704</t>
  </si>
  <si>
    <t>vvi-MIR393b</t>
  </si>
  <si>
    <t>Cluster_8623</t>
  </si>
  <si>
    <t>vvi-MIR166h</t>
  </si>
  <si>
    <t>Cluster_17878</t>
  </si>
  <si>
    <t>Cluster_8634</t>
  </si>
  <si>
    <t>vvi-miR7122</t>
  </si>
  <si>
    <t>Cluster_31664</t>
  </si>
  <si>
    <t>vvi-MIR828a_star_sequenced</t>
  </si>
  <si>
    <t>Cluster_926</t>
  </si>
  <si>
    <t>Pant128_majsp_D1plus</t>
  </si>
  <si>
    <t>Cluster_26950</t>
  </si>
  <si>
    <t>Cluster_192945_P98</t>
  </si>
  <si>
    <t>vvi-MIR858</t>
  </si>
  <si>
    <t>Cluster_8003</t>
  </si>
  <si>
    <t>mypred828-target_majsp_phase_22_VIT_05s077g01360</t>
  </si>
  <si>
    <t>padj</t>
  </si>
  <si>
    <t>NC_012024.3_Vitis_vinifera_cultivar_PN40024_chromosome_18,_12X,_whole_genome_shotgun_sequence:28294527-28296187</t>
  </si>
  <si>
    <t>CCUUCGGCCGAGAUCAUCAACU</t>
  </si>
  <si>
    <t>NC_012023.3_Vitis_vinifera_cultivar_PN40024_chromosome_17,_12X,_whole_genome_shotgun_sequence:9703075-9703885</t>
  </si>
  <si>
    <t>GGUUUGAUGGCAUACUGUGAG</t>
  </si>
  <si>
    <t>NC_012014.3_Vitis_vinifera_cultivar_PN40024_chromosome_8,_12X,_whole_genome_shotgun_sequence:10080343-10080500</t>
  </si>
  <si>
    <t>UGGAGAAGCAGGGCACGUGCA</t>
  </si>
  <si>
    <t>NC_012020.3_Vitis_vinifera_cultivar_PN40024_chromosome_14,_12X,_whole_genome_shotgun_sequence:27707780-27708673</t>
  </si>
  <si>
    <t>UUGAGCAAAAAGCUGGGCAUC</t>
  </si>
  <si>
    <t>NC_012014.3_Vitis_vinifera_cultivar_PN40024_chromosome_8,_12X,_whole_genome_shotgun_sequence:10080582-10080626</t>
  </si>
  <si>
    <t>CAUGUGCCCCUCUUCCCCAUC</t>
  </si>
  <si>
    <t>NC_012015.3_Vitis_vinifera_cultivar_PN40024_chromosome_9,_12X,_whole_genome_shotgun_sequence:7372499-7372681</t>
  </si>
  <si>
    <t>UUCCACAGCUUUCUUGAACUA</t>
  </si>
  <si>
    <t>NW_003724301.1_Vitis_vinifera_cultivar_PN40024_unplaced_genomic_scaffold,_12X_scaffold_341.assembly12x,_whole_genome_shotgun_sequence:36614-37231</t>
  </si>
  <si>
    <t>UCCACAGCAAAAGAGACUGCA</t>
  </si>
  <si>
    <t>NC_012014.3_Vitis_vinifera_cultivar_PN40024_chromosome_8,_12X,_whole_genome_shotgun_sequence:3302736-3303387</t>
  </si>
  <si>
    <t>UCUCGGACCAGGCUUCAUUCC</t>
  </si>
  <si>
    <t>NC_012017.3_Vitis_vinifera_cultivar_PN40024_chromosome_11,_12X,_whole_genome_shotgun_sequence:5246708-5246979</t>
  </si>
  <si>
    <t>UUCCACAGCUUUCUUGAACUU</t>
  </si>
  <si>
    <t>NC_012008.3_Vitis_vinifera_cultivar_PN40024_chromosome_2,_12X,_whole_genome_shotgun_sequence:17944458-17944975</t>
  </si>
  <si>
    <t>UCGCUUGGUGCAGGUCGGGAA</t>
  </si>
  <si>
    <t>NW_003724364.1_Vitis_vinifera_cultivar_PN40024_unplaced_genomic_scaffold,_12X_scaffold_426.assembly12x,_whole_genome_shotgun_sequence:17203-17406</t>
  </si>
  <si>
    <t>AGCUGCUGACUUAUGGAUCCCU</t>
  </si>
  <si>
    <t>N11</t>
  </si>
  <si>
    <t>NC_012023.3_Vitis_vinifera_cultivar_PN40024_chromosome_17,_12X,_whole_genome_shotgun_sequence:4716209-4717020</t>
  </si>
  <si>
    <t>UCGAUAAACCUCUGCAUCCAG</t>
  </si>
  <si>
    <t>NC_012018.3_Vitis_vinifera_cultivar_PN40024_chromosome_12,_12X,_whole_genome_shotgun_sequence:17937205-17937706</t>
  </si>
  <si>
    <t>UCGGACCAGGCUUCAUUCCUC</t>
  </si>
  <si>
    <t>NC_012017.3_Vitis_vinifera_cultivar_PN40024_chromosome_11,_12X,_whole_genome_shotgun_sequence:7623150-7623754</t>
  </si>
  <si>
    <t>UGACAGAAGAGAGUGAGCAC</t>
  </si>
  <si>
    <t>NC_012022.3_Vitis_vinifera_cultivar_PN40024_chromosome_16,_12X,_whole_genome_shotgun_sequence:17247181-17247375</t>
  </si>
  <si>
    <t>UCCAAAGGGAUCGCAUUGAUCU</t>
  </si>
  <si>
    <t>NW_003724206.1_Vitis_vinifera_cultivar_PN40024_unplaced_genomic_scaffold,_12X_scaffold_184.assembly12x,_whole_genome_shotgun_sequence:75199-75990</t>
  </si>
  <si>
    <t>UUCAGUUUAGUUAUGUUGGAUGAU</t>
  </si>
  <si>
    <t>NC_012023.3_Vitis_vinifera_cultivar_PN40024_chromosome_17,_12X,_whole_genome_shotgun_sequence:6896817-6898316</t>
  </si>
  <si>
    <t>GAGAAUGAUGAUUUGUCUUUGGGAAUCUCUCUGAUG</t>
  </si>
  <si>
    <t>N</t>
  </si>
  <si>
    <t>N2</t>
  </si>
  <si>
    <t>NC_012020.3_Vitis_vinifera_cultivar_PN40024_chromosome_14,_12X,_whole_genome_shotgun_sequence:16644828-16645711</t>
  </si>
  <si>
    <t>UCAGAGGAUGGACUGAACUCA</t>
  </si>
  <si>
    <t>NC_012014.3_Vitis_vinifera_cultivar_PN40024_chromosome_8,_12X,_whole_genome_shotgun_sequence:12666882-12667529</t>
  </si>
  <si>
    <t>NC_012013.3_Vitis_vinifera_cultivar_PN40024_chromosome_7,_12X,_whole_genome_shotgun_sequence:2354212-2355484</t>
  </si>
  <si>
    <t>UCUCCUCAGGAAGAACUGCCC</t>
  </si>
  <si>
    <t>NC_012018.3_Vitis_vinifera_cultivar_PN40024_chromosome_12,_12X,_whole_genome_shotgun_sequence:5487736-5487962</t>
  </si>
  <si>
    <t>UGAUUGAGCCGUGCCAAUAUC</t>
  </si>
  <si>
    <t>NC_012012.3_Vitis_vinifera_cultivar_PN40024_chromosome_6,_12X,_whole_genome_shotgun_sequence:18688611-18689126</t>
  </si>
  <si>
    <t>GGAAGGGGCAUGUGCUAUGCGUGU</t>
  </si>
  <si>
    <t>NC_012023.3_Vitis_vinifera_cultivar_PN40024_chromosome_17,_12X,_whole_genome_shotgun_sequence:5680697-5681863</t>
  </si>
  <si>
    <t>ACGGCAUGAGUGCGAGUCGGAAA</t>
  </si>
  <si>
    <t>NC_012014.3_Vitis_vinifera_cultivar_PN40024_chromosome_8,_12X,_whole_genome_shotgun_sequence:18999855-18999955</t>
  </si>
  <si>
    <t>NC_012007.3_Vitis_vinifera_cultivar_PN40024_chromosome_1,_12X,_whole_genome_shotgun_sequence:6566582-6566901</t>
  </si>
  <si>
    <t>GUUCCCUUGACCACUUCACUG</t>
  </si>
  <si>
    <t>NC_012007.3_Vitis_vinifera_cultivar_PN40024_chromosome_1,_12X,_whole_genome_shotgun_sequence:5536515-5536897</t>
  </si>
  <si>
    <t>ACCUUUGACUGGUGAGUGCAUGAA</t>
  </si>
  <si>
    <t>NC_012019.3_Vitis_vinifera_cultivar_PN40024_chromosome_13,_12X,_whole_genome_shotgun_sequence:4265089-4265221</t>
  </si>
  <si>
    <t>NC_012011.3_Vitis_vinifera_cultivar_PN40024_chromosome_5,_12X,_whole_genome_shotgun_sequence:6740980-6741283</t>
  </si>
  <si>
    <t>UCGGACCAGGCUUCAUUCCCC</t>
  </si>
  <si>
    <t>NC_012015.3_Vitis_vinifera_cultivar_PN40024_chromosome_9,_12X,_whole_genome_shotgun_sequence:21822337-21822741</t>
  </si>
  <si>
    <t>UUUUAAUUUUGAUAUGGCAAGUCA</t>
  </si>
  <si>
    <t>NC_012011.3_Vitis_vinifera_cultivar_PN40024_chromosome_5,_12X,_whole_genome_shotgun_sequence:6820608-6821071</t>
  </si>
  <si>
    <t>UUACACAGAGAGAUGACGGUGG</t>
  </si>
  <si>
    <t>NC_012022.3_Vitis_vinifera_cultivar_PN40024_chromosome_16,_12X,_whole_genome_shotgun_sequence:21724236-21724615</t>
  </si>
  <si>
    <t>AGAUGCUCAUUUGAGGAAGCAA</t>
  </si>
  <si>
    <t>NC_012007.3_Vitis_vinifera_cultivar_PN40024_chromosome_1,_12X,_whole_genome_shotgun_sequence:8079523-8080268</t>
  </si>
  <si>
    <t>UUGUGCAAGAGGCUCGGCAUC</t>
  </si>
  <si>
    <t>NC_012020.3_Vitis_vinifera_cultivar_PN40024_chromosome_14,_12X,_whole_genome_shotgun_sequence:16885252-16885857</t>
  </si>
  <si>
    <t>CUGUCAGAGGAUGGAAUUUCA</t>
  </si>
  <si>
    <t>NC_012023.3_Vitis_vinifera_cultivar_PN40024_chromosome_17,_12X,_whole_genome_shotgun_sequence:2439432-2439714</t>
  </si>
  <si>
    <t>UUCGUUGUCUGUUCGACCUUG</t>
  </si>
  <si>
    <t>NC_012011.3_Vitis_vinifera_cultivar_PN40024_chromosome_5,_12X,_whole_genome_shotgun_sequence:1105706-1107623</t>
  </si>
  <si>
    <t>UUGGGACCAUUUGAAGAGCAA</t>
  </si>
  <si>
    <t>main reads</t>
  </si>
  <si>
    <t>Pearson</t>
  </si>
  <si>
    <t>time (weeks) relative to 6 weeks post veraison as endpoint denominator</t>
  </si>
  <si>
    <t>ratio-3/6</t>
  </si>
  <si>
    <t>ratio_0/6</t>
  </si>
  <si>
    <t>ratio3/6</t>
  </si>
  <si>
    <t>padj Bonf-FDR</t>
  </si>
  <si>
    <t>ratio-UV</t>
  </si>
  <si>
    <t>padj Bonf-FDR, 172 phasis/miRNAs</t>
  </si>
  <si>
    <t>Independent Filtering tested 34,074 loci filtered for low base mean counts &lt;0.2 per library</t>
  </si>
  <si>
    <t>Independent Filtering-adjusted: 81 miRNAs phasi loci tested (removed select loci from family-wise base [172] if DESeq2 low counts &lt;7.8 base mean reads/library discarded)</t>
  </si>
  <si>
    <t xml:space="preserve">Independent Filtering adjusted: tested 172 miRNAs/phasi loci </t>
  </si>
  <si>
    <t>ratio H/L</t>
  </si>
  <si>
    <t>verai none</t>
  </si>
  <si>
    <t>neg3 none</t>
  </si>
  <si>
    <t>3wks none</t>
  </si>
  <si>
    <t>6wks none</t>
  </si>
  <si>
    <t>neg3 +UV</t>
  </si>
  <si>
    <t>verai +UV</t>
  </si>
  <si>
    <t>3wks +UV</t>
  </si>
  <si>
    <t>6wks +UV</t>
  </si>
  <si>
    <t>omit6wk</t>
  </si>
  <si>
    <t>mock denom</t>
  </si>
  <si>
    <t>avg ratio-UVH/UVL</t>
  </si>
  <si>
    <t>2mock denom</t>
  </si>
  <si>
    <t>1mock denom</t>
  </si>
  <si>
    <t>3mock denom</t>
  </si>
  <si>
    <t>omit3wkdenom</t>
  </si>
  <si>
    <t>omit-3wk numerator</t>
  </si>
  <si>
    <t>vvi-MIR3639-5p</t>
  </si>
  <si>
    <t>novel-vvi-MIR477f*</t>
  </si>
  <si>
    <t>novel-vvi-MIR477d*-like</t>
  </si>
  <si>
    <t>vvi-MIR530a</t>
  </si>
  <si>
    <t>TAS4b field UV-fold</t>
  </si>
  <si>
    <t>vvi-MIR3624*-5p</t>
  </si>
  <si>
    <t>novel-gra-MIR8761-like</t>
  </si>
  <si>
    <t>novel_ddi-mir-7099-hairpin-like</t>
  </si>
  <si>
    <t>mtr-MIR5741e/gra-MIR8685-like</t>
  </si>
  <si>
    <t>MYBA6_majsp_D6plus</t>
  </si>
  <si>
    <t>MYBA7_majsp_D6plus</t>
  </si>
  <si>
    <t>novel-1; 24 nt species</t>
  </si>
  <si>
    <t>novel vvi-MIR159d-like</t>
  </si>
  <si>
    <t>vvi-MIR3634*</t>
  </si>
  <si>
    <t>Cluster_7904</t>
  </si>
  <si>
    <t>NC_012011.3_Vitis_vinifera_cultivar_PN40024_chromosome_5,_12X,_whole_genome_shotgun_sequence:358508-360140</t>
  </si>
  <si>
    <t>UGAGUUGGGCGGAAACGGGGA</t>
  </si>
  <si>
    <t>TAS3 per blasting aligned seq with Arabidopsis cDNAs. VIT_05s0077g00540 with Allen score 0 and degradome category 0; encodes unknown; NCBI best BLASTP E=.36 Indole-3-acetate beta glucosyltransferase OLP82245.1. D7(+) cascades to ARF4 VIT_06s0004g03130, Allen 2.5 degradome 4 p =0.07;  encodes VIT_05s0077g00540 Allen =0, degrad = 2, p=0.006.</t>
  </si>
  <si>
    <t>Cluster_8523</t>
  </si>
  <si>
    <t>NC_012011.3_Vitis_vinifera_cultivar_PN40024_chromosome_5,_12X,_whole_genome_shotgun_sequence:6017171-6018107</t>
  </si>
  <si>
    <t>AGGAGUUCAAUAGCAGCAAGA</t>
  </si>
  <si>
    <t>~5 kb 5' of VIT_05s0020g04290 encoding 81aa peptide with N-term signal</t>
  </si>
  <si>
    <t>vvi-MIR530b-isomiR</t>
  </si>
  <si>
    <t>vvi-MIR530a-isomiR</t>
  </si>
  <si>
    <t>vvi-MIR3631b-like; can't verify as miRBase21 has no coordinates</t>
  </si>
  <si>
    <t>vvi-MIR171b-isomiR</t>
  </si>
  <si>
    <t>miRNA</t>
  </si>
  <si>
    <t>log2FC</t>
  </si>
  <si>
    <r>
      <t>P</t>
    </r>
    <r>
      <rPr>
        <b/>
        <sz val="10"/>
        <color theme="1"/>
        <rFont val="Times New Roman"/>
        <family val="1"/>
      </rPr>
      <t xml:space="preserve"> value*</t>
    </r>
  </si>
  <si>
    <t>Validated Targets</t>
  </si>
  <si>
    <t>Species in which targets are predicted</t>
  </si>
  <si>
    <t xml:space="preserve">C/NC/N </t>
  </si>
  <si>
    <t>miRNA-triggered Phasi Locus</t>
  </si>
  <si>
    <t>Short-Stack Phase Score</t>
  </si>
  <si>
    <t>Reference</t>
  </si>
  <si>
    <t>vvi-MIR5225</t>
  </si>
  <si>
    <t>calcium-transporting ATPase10, 5' UTR intron</t>
  </si>
  <si>
    <t xml:space="preserve">Medicago truncatula </t>
  </si>
  <si>
    <t>Ammopiptanthus mongolicus</t>
  </si>
  <si>
    <t>C</t>
  </si>
  <si>
    <r>
      <t xml:space="preserve">Xia </t>
    </r>
    <r>
      <rPr>
        <i/>
        <sz val="10"/>
        <color theme="1"/>
        <rFont val="Times New Roman"/>
        <family val="1"/>
      </rPr>
      <t>et al</t>
    </r>
    <r>
      <rPr>
        <sz val="10"/>
        <color theme="1"/>
        <rFont val="Times New Roman"/>
        <family val="1"/>
      </rPr>
      <t>., 2013</t>
    </r>
  </si>
  <si>
    <r>
      <t xml:space="preserve">Gao </t>
    </r>
    <r>
      <rPr>
        <i/>
        <sz val="10"/>
        <color theme="1"/>
        <rFont val="Times New Roman"/>
        <family val="1"/>
      </rPr>
      <t>et al</t>
    </r>
    <r>
      <rPr>
        <sz val="10"/>
        <color theme="1"/>
        <rFont val="Times New Roman"/>
        <family val="1"/>
      </rPr>
      <t>., 2016</t>
    </r>
  </si>
  <si>
    <t>only 17% as abundant as star</t>
  </si>
  <si>
    <t>Four Auxin Response factors ARF 10/16/17-like</t>
  </si>
  <si>
    <t>Many</t>
  </si>
  <si>
    <r>
      <t xml:space="preserve">Pantaleo </t>
    </r>
    <r>
      <rPr>
        <i/>
        <sz val="10"/>
        <color theme="1"/>
        <rFont val="Times New Roman"/>
        <family val="1"/>
      </rPr>
      <t>et al</t>
    </r>
    <r>
      <rPr>
        <sz val="10"/>
        <color theme="1"/>
        <rFont val="Times New Roman"/>
        <family val="1"/>
      </rPr>
      <t>., 2010</t>
    </r>
  </si>
  <si>
    <t>This report</t>
  </si>
  <si>
    <t>14 NBS-LRRs$</t>
  </si>
  <si>
    <t>gymnosperms, dicots</t>
  </si>
  <si>
    <r>
      <t>TAS11</t>
    </r>
    <r>
      <rPr>
        <sz val="10"/>
        <color theme="1"/>
        <rFont val="Times New Roman"/>
        <family val="1"/>
      </rPr>
      <t>; NC_012019.3_chr13:</t>
    </r>
  </si>
  <si>
    <t>15496204-15497757^</t>
  </si>
  <si>
    <r>
      <t xml:space="preserve">This report Shivaprasad </t>
    </r>
    <r>
      <rPr>
        <i/>
        <sz val="10"/>
        <color theme="1"/>
        <rFont val="Times New Roman"/>
        <family val="1"/>
      </rPr>
      <t>et al</t>
    </r>
    <r>
      <rPr>
        <sz val="10"/>
        <color theme="1"/>
        <rFont val="Times New Roman"/>
        <family val="1"/>
      </rPr>
      <t xml:space="preserve">., 2012; Xia, </t>
    </r>
    <r>
      <rPr>
        <sz val="12"/>
        <color theme="1"/>
        <rFont val="Times New Roman"/>
        <family val="1"/>
      </rPr>
      <t xml:space="preserve"> </t>
    </r>
    <r>
      <rPr>
        <sz val="10"/>
        <color theme="1"/>
        <rFont val="Times New Roman"/>
        <family val="1"/>
      </rPr>
      <t xml:space="preserve">Meyers, Liu, Beers, &amp; Ye, 2013; Li </t>
    </r>
    <r>
      <rPr>
        <i/>
        <sz val="10"/>
        <color theme="1"/>
        <rFont val="Times New Roman"/>
        <family val="1"/>
      </rPr>
      <t>et al</t>
    </r>
    <r>
      <rPr>
        <sz val="10"/>
        <color theme="1"/>
        <rFont val="Times New Roman"/>
        <family val="1"/>
      </rPr>
      <t>., 2012</t>
    </r>
  </si>
  <si>
    <r>
      <t xml:space="preserve">*Bonferroni-Hochberg Family-wise False Discovery Rate-adjusted (α=0.1) , based on all </t>
    </r>
    <r>
      <rPr>
        <i/>
        <sz val="10"/>
        <color theme="1"/>
        <rFont val="Times New Roman"/>
        <family val="1"/>
      </rPr>
      <t>172 MIRNA</t>
    </r>
    <r>
      <rPr>
        <sz val="10"/>
        <color theme="1"/>
        <rFont val="Times New Roman"/>
        <family val="1"/>
      </rPr>
      <t xml:space="preserve"> loci tested.</t>
    </r>
  </si>
  <si>
    <r>
      <t xml:space="preserve">^ log2FC by UV treatment = 0.94, </t>
    </r>
    <r>
      <rPr>
        <i/>
        <sz val="10"/>
        <color theme="1"/>
        <rFont val="Times New Roman"/>
        <family val="1"/>
      </rPr>
      <t>P</t>
    </r>
    <r>
      <rPr>
        <sz val="10"/>
        <color theme="1"/>
        <rFont val="Times New Roman"/>
        <family val="1"/>
      </rPr>
      <t xml:space="preserve"> = 0.05. Candidate </t>
    </r>
    <r>
      <rPr>
        <i/>
        <sz val="10"/>
        <color theme="1"/>
        <rFont val="Times New Roman"/>
        <family val="1"/>
      </rPr>
      <t>TAS-</t>
    </r>
    <r>
      <rPr>
        <sz val="10"/>
        <color theme="1"/>
        <rFont val="Times New Roman"/>
        <family val="1"/>
      </rPr>
      <t xml:space="preserve">like locus, based on NCBI GenBank ESTs </t>
    </r>
    <r>
      <rPr>
        <sz val="12"/>
        <color theme="1"/>
        <rFont val="Times New Roman"/>
        <family val="1"/>
      </rPr>
      <t xml:space="preserve"> </t>
    </r>
    <r>
      <rPr>
        <sz val="10"/>
        <color theme="1"/>
        <rFont val="Times New Roman"/>
        <family val="1"/>
      </rPr>
      <t xml:space="preserve">XR_002031633.1 and  XR_787251.2 "uncharacterized ncRNA"; no homology to </t>
    </r>
    <r>
      <rPr>
        <i/>
        <sz val="10"/>
        <color theme="1"/>
        <rFont val="Times New Roman"/>
        <family val="1"/>
      </rPr>
      <t>sly-TAS5</t>
    </r>
    <r>
      <rPr>
        <sz val="10"/>
        <color theme="1"/>
        <rFont val="Times New Roman"/>
        <family val="1"/>
      </rPr>
      <t xml:space="preserve"> (Li </t>
    </r>
    <r>
      <rPr>
        <i/>
        <sz val="10"/>
        <color theme="1"/>
        <rFont val="Times New Roman"/>
        <family val="1"/>
      </rPr>
      <t>et al</t>
    </r>
    <r>
      <rPr>
        <sz val="10"/>
        <color theme="1"/>
        <rFont val="Times New Roman"/>
        <family val="1"/>
      </rPr>
      <t xml:space="preserve">., 2012). Overlaps 5' end of </t>
    </r>
    <r>
      <rPr>
        <i/>
        <sz val="10"/>
        <color theme="1"/>
        <rFont val="Times New Roman"/>
        <family val="1"/>
      </rPr>
      <t>VIT_13s0047g00100</t>
    </r>
    <r>
      <rPr>
        <sz val="10"/>
        <color theme="1"/>
        <rFont val="Times New Roman"/>
        <family val="1"/>
      </rPr>
      <t>.</t>
    </r>
  </si>
  <si>
    <r>
      <t xml:space="preserve">$ </t>
    </r>
    <r>
      <rPr>
        <i/>
        <sz val="10"/>
        <color theme="1"/>
        <rFont val="Times New Roman"/>
        <family val="1"/>
      </rPr>
      <t>TAS11</t>
    </r>
    <r>
      <rPr>
        <sz val="10"/>
        <color theme="1"/>
        <rFont val="Times New Roman"/>
        <family val="1"/>
      </rPr>
      <t xml:space="preserve"> siRNA 3'D3(-) targets two LRRs supported by PhaseTank analysis of degradome (Pantaleo </t>
    </r>
    <r>
      <rPr>
        <i/>
        <sz val="10"/>
        <color theme="1"/>
        <rFont val="Times New Roman"/>
        <family val="1"/>
      </rPr>
      <t>et al</t>
    </r>
    <r>
      <rPr>
        <sz val="10"/>
        <color theme="1"/>
        <rFont val="Times New Roman"/>
        <family val="1"/>
      </rPr>
      <t xml:space="preserve">., 2010); VIT_18s0001g07270 (phase score=93.5) and VIT_13s0106g00020 (phase score=29.2). See Supplementary Table 2b for 12 other LRR predicted targets of </t>
    </r>
    <r>
      <rPr>
        <i/>
        <sz val="10"/>
        <color theme="1"/>
        <rFont val="Times New Roman"/>
        <family val="1"/>
      </rPr>
      <t>TAS11</t>
    </r>
    <r>
      <rPr>
        <sz val="10"/>
        <color theme="1"/>
        <rFont val="Times New Roman"/>
        <family val="1"/>
      </rPr>
      <t xml:space="preserve">-3'D3(-),  Supplementary Table 4 and Supplementary File S5. </t>
    </r>
    <r>
      <rPr>
        <sz val="12"/>
        <color theme="1"/>
        <rFont val="Times New Roman"/>
        <family val="1"/>
      </rPr>
      <t xml:space="preserve"> </t>
    </r>
  </si>
  <si>
    <t>C/NC/N</t>
  </si>
  <si>
    <t>Phasi Locus</t>
  </si>
  <si>
    <t>ShortStack Phase Score</t>
  </si>
  <si>
    <t>vvi-MIR395n</t>
  </si>
  <si>
    <t>ATP sulfurylase 1; AST68, Low affinity sulfate transporter (miR395l,h)</t>
  </si>
  <si>
    <r>
      <t xml:space="preserve">Paim-Pinto </t>
    </r>
    <r>
      <rPr>
        <i/>
        <sz val="10"/>
        <color theme="1"/>
        <rFont val="Times New Roman"/>
        <family val="1"/>
      </rPr>
      <t>et al</t>
    </r>
    <r>
      <rPr>
        <sz val="10"/>
        <color theme="1"/>
        <rFont val="Times New Roman"/>
        <family val="1"/>
      </rPr>
      <t>., 2016; Sun et al., 2015</t>
    </r>
  </si>
  <si>
    <t>vvi-MIR3627-5p isomiR</t>
  </si>
  <si>
    <t>calcium-transporting ATPase10, 5' UTR intron2</t>
  </si>
  <si>
    <t>Grapevine, peach, apple</t>
  </si>
  <si>
    <r>
      <t xml:space="preserve">for </t>
    </r>
    <r>
      <rPr>
        <i/>
        <sz val="10"/>
        <color theme="1"/>
        <rFont val="Times New Roman"/>
        <family val="1"/>
      </rPr>
      <t>MIRNA</t>
    </r>
    <r>
      <rPr>
        <sz val="10"/>
        <color theme="1"/>
        <rFont val="Times New Roman"/>
        <family val="1"/>
      </rPr>
      <t>=63</t>
    </r>
  </si>
  <si>
    <r>
      <t xml:space="preserve">Xia </t>
    </r>
    <r>
      <rPr>
        <i/>
        <sz val="10"/>
        <color theme="1"/>
        <rFont val="Times New Roman"/>
        <family val="1"/>
      </rPr>
      <t>et al</t>
    </r>
    <r>
      <rPr>
        <sz val="10"/>
        <color theme="1"/>
        <rFont val="Times New Roman"/>
        <family val="1"/>
      </rPr>
      <t xml:space="preserve">., 2013; Gao </t>
    </r>
    <r>
      <rPr>
        <i/>
        <sz val="10"/>
        <color theme="1"/>
        <rFont val="Times New Roman"/>
        <family val="1"/>
      </rPr>
      <t>et al</t>
    </r>
    <r>
      <rPr>
        <sz val="10"/>
        <color theme="1"/>
        <rFont val="Times New Roman"/>
        <family val="1"/>
      </rPr>
      <t>. 2016</t>
    </r>
  </si>
  <si>
    <t>vvi-MIR535c</t>
  </si>
  <si>
    <t>DNA primase large SU; SPLs (bulge at nt6 seed region)</t>
  </si>
  <si>
    <r>
      <t xml:space="preserve">Carra </t>
    </r>
    <r>
      <rPr>
        <i/>
        <sz val="10"/>
        <color theme="1"/>
        <rFont val="Times New Roman"/>
        <family val="1"/>
      </rPr>
      <t>et al</t>
    </r>
    <r>
      <rPr>
        <sz val="10"/>
        <color theme="1"/>
        <rFont val="Times New Roman"/>
        <family val="1"/>
      </rPr>
      <t>., 2009</t>
    </r>
  </si>
  <si>
    <r>
      <t xml:space="preserve">Han </t>
    </r>
    <r>
      <rPr>
        <i/>
        <sz val="10"/>
        <color theme="1"/>
        <rFont val="Times New Roman"/>
        <family val="1"/>
      </rPr>
      <t>et al</t>
    </r>
    <r>
      <rPr>
        <sz val="10"/>
        <color theme="1"/>
        <rFont val="Times New Roman"/>
        <family val="1"/>
      </rPr>
      <t>., 2016</t>
    </r>
  </si>
  <si>
    <r>
      <t xml:space="preserve">Paim-Pinto </t>
    </r>
    <r>
      <rPr>
        <i/>
        <sz val="10"/>
        <color theme="1"/>
        <rFont val="Times New Roman"/>
        <family val="1"/>
      </rPr>
      <t>et al</t>
    </r>
    <r>
      <rPr>
        <sz val="10"/>
        <color theme="1"/>
        <rFont val="Times New Roman"/>
        <family val="1"/>
      </rPr>
      <t>., 2016</t>
    </r>
  </si>
  <si>
    <t>vvi-MIR3624-3p</t>
  </si>
  <si>
    <t>METAL ION BINDING PROTEIN-RELATED, Proline-rich family protein</t>
  </si>
  <si>
    <t>Grapevine</t>
  </si>
  <si>
    <t>NC</t>
  </si>
  <si>
    <r>
      <t xml:space="preserve">for </t>
    </r>
    <r>
      <rPr>
        <i/>
        <sz val="10"/>
        <color theme="1"/>
        <rFont val="Times New Roman"/>
        <family val="1"/>
      </rPr>
      <t>MIRNA</t>
    </r>
  </si>
  <si>
    <t>Sun et al., 2015</t>
  </si>
  <si>
    <t>Pagliarani et al., 2017</t>
  </si>
  <si>
    <t>this report</t>
  </si>
  <si>
    <t xml:space="preserve">vvi-MIR171b isomiR </t>
  </si>
  <si>
    <t>GRAS family scarecrow-like protein</t>
  </si>
  <si>
    <t>SCR4-L SCR-L22 SCR-L15</t>
  </si>
  <si>
    <r>
      <t xml:space="preserve">Pantaleo </t>
    </r>
    <r>
      <rPr>
        <i/>
        <sz val="10"/>
        <color theme="1"/>
        <rFont val="Times New Roman"/>
        <family val="1"/>
      </rPr>
      <t>et al</t>
    </r>
    <r>
      <rPr>
        <sz val="10"/>
        <color theme="1"/>
        <rFont val="Times New Roman"/>
        <family val="1"/>
      </rPr>
      <t xml:space="preserve">., 2010; Wang </t>
    </r>
    <r>
      <rPr>
        <i/>
        <sz val="10"/>
        <color theme="1"/>
        <rFont val="Times New Roman"/>
        <family val="1"/>
      </rPr>
      <t>et al</t>
    </r>
    <r>
      <rPr>
        <sz val="10"/>
        <color theme="1"/>
        <rFont val="Times New Roman"/>
        <family val="1"/>
      </rPr>
      <t>., 2013</t>
    </r>
  </si>
  <si>
    <t>mature is only 0.5% of star species</t>
  </si>
  <si>
    <t>repC/Pol III GAMMA-TAU SU; Elongation factor 1B-gamma;  EDA9, D-3-phosphoglycerate dehydrogenase</t>
  </si>
  <si>
    <t>Dicots</t>
  </si>
  <si>
    <t xml:space="preserve">C </t>
  </si>
  <si>
    <t xml:space="preserve">vvi-MIR530a </t>
  </si>
  <si>
    <t>AGO1 (two homologues, intron and 3' UTR); Plus3 domain; PPR DYW deaminase</t>
  </si>
  <si>
    <t>many</t>
  </si>
  <si>
    <r>
      <t xml:space="preserve">Alabi </t>
    </r>
    <r>
      <rPr>
        <i/>
        <sz val="10"/>
        <color theme="1"/>
        <rFont val="Times New Roman"/>
        <family val="1"/>
      </rPr>
      <t>et al</t>
    </r>
    <r>
      <rPr>
        <sz val="10"/>
        <color theme="1"/>
        <rFont val="Times New Roman"/>
        <family val="1"/>
      </rPr>
      <t xml:space="preserve">., 2012; Han </t>
    </r>
    <r>
      <rPr>
        <i/>
        <sz val="10"/>
        <color theme="1"/>
        <rFont val="Times New Roman"/>
        <family val="1"/>
      </rPr>
      <t>et al</t>
    </r>
    <r>
      <rPr>
        <sz val="10"/>
        <color theme="1"/>
        <rFont val="Times New Roman"/>
        <family val="1"/>
      </rPr>
      <t>., 2016;</t>
    </r>
  </si>
  <si>
    <r>
      <t xml:space="preserve">Liang </t>
    </r>
    <r>
      <rPr>
        <i/>
        <sz val="10"/>
        <color theme="1"/>
        <rFont val="Times New Roman"/>
        <family val="1"/>
      </rPr>
      <t>et al</t>
    </r>
    <r>
      <rPr>
        <sz val="10"/>
        <color theme="1"/>
        <rFont val="Times New Roman"/>
        <family val="1"/>
      </rPr>
      <t>., 2013</t>
    </r>
  </si>
  <si>
    <t>9 squamosa promoter-binding-like SPL TFs</t>
  </si>
  <si>
    <r>
      <t xml:space="preserve">Pantaleo </t>
    </r>
    <r>
      <rPr>
        <i/>
        <sz val="10"/>
        <color theme="1"/>
        <rFont val="Times New Roman"/>
        <family val="1"/>
      </rPr>
      <t>et al</t>
    </r>
    <r>
      <rPr>
        <sz val="10"/>
        <color theme="1"/>
        <rFont val="Times New Roman"/>
        <family val="1"/>
      </rPr>
      <t xml:space="preserve">., 2010; Casati </t>
    </r>
    <r>
      <rPr>
        <i/>
        <sz val="10"/>
        <color theme="1"/>
        <rFont val="Times New Roman"/>
        <family val="1"/>
      </rPr>
      <t>et al</t>
    </r>
    <r>
      <rPr>
        <sz val="10"/>
        <color theme="1"/>
        <rFont val="Times New Roman"/>
        <family val="1"/>
      </rPr>
      <t xml:space="preserve">., 2013; Wang </t>
    </r>
    <r>
      <rPr>
        <i/>
        <sz val="10"/>
        <color theme="1"/>
        <rFont val="Times New Roman"/>
        <family val="1"/>
      </rPr>
      <t>et al</t>
    </r>
    <r>
      <rPr>
        <sz val="10"/>
        <color theme="1"/>
        <rFont val="Times New Roman"/>
        <family val="1"/>
      </rPr>
      <t>., 2013</t>
    </r>
  </si>
  <si>
    <t>calcium-transporting ATPase10 5' UTR intron2</t>
  </si>
  <si>
    <t>dicots</t>
  </si>
  <si>
    <r>
      <t xml:space="preserve">Wang </t>
    </r>
    <r>
      <rPr>
        <i/>
        <sz val="10"/>
        <color theme="1"/>
        <rFont val="Times New Roman"/>
        <family val="1"/>
      </rPr>
      <t>et al</t>
    </r>
    <r>
      <rPr>
        <sz val="10"/>
        <color theme="1"/>
        <rFont val="Times New Roman"/>
        <family val="1"/>
      </rPr>
      <t xml:space="preserve">., 2011; Xia </t>
    </r>
    <r>
      <rPr>
        <i/>
        <sz val="10"/>
        <color theme="1"/>
        <rFont val="Times New Roman"/>
        <family val="1"/>
      </rPr>
      <t>et al</t>
    </r>
    <r>
      <rPr>
        <sz val="10"/>
        <color theme="1"/>
        <rFont val="Times New Roman"/>
        <family val="1"/>
      </rPr>
      <t>., 2013</t>
    </r>
  </si>
  <si>
    <t>TCP4-L; TCP24-L</t>
  </si>
  <si>
    <t>vvi-MIR828</t>
  </si>
  <si>
    <t>Eudicots, palms</t>
  </si>
  <si>
    <r>
      <t>Vv-</t>
    </r>
    <r>
      <rPr>
        <i/>
        <sz val="10"/>
        <color theme="1"/>
        <rFont val="Times New Roman"/>
        <family val="1"/>
      </rPr>
      <t>TAS4b</t>
    </r>
    <r>
      <rPr>
        <sz val="10"/>
        <color theme="1"/>
        <rFont val="Times New Roman"/>
        <family val="1"/>
      </rPr>
      <t>: NC_012020.3_chr14:</t>
    </r>
  </si>
  <si>
    <t>21534542-21535069^</t>
  </si>
  <si>
    <r>
      <t xml:space="preserve">Hsieh </t>
    </r>
    <r>
      <rPr>
        <i/>
        <sz val="10"/>
        <color theme="1"/>
        <rFont val="Times New Roman"/>
        <family val="1"/>
      </rPr>
      <t>et al</t>
    </r>
    <r>
      <rPr>
        <sz val="10"/>
        <color theme="1"/>
        <rFont val="Times New Roman"/>
        <family val="1"/>
      </rPr>
      <t xml:space="preserve">., 2009; Luo </t>
    </r>
    <r>
      <rPr>
        <i/>
        <sz val="10"/>
        <color theme="1"/>
        <rFont val="Times New Roman"/>
        <family val="1"/>
      </rPr>
      <t>et al</t>
    </r>
    <r>
      <rPr>
        <sz val="10"/>
        <color theme="1"/>
        <rFont val="Times New Roman"/>
        <family val="1"/>
      </rPr>
      <t>., 2012; Rock, 2013</t>
    </r>
  </si>
  <si>
    <t>0.70$</t>
  </si>
  <si>
    <t>10 NB-LRRs$</t>
  </si>
  <si>
    <t>Gymnosperms, dicots</t>
  </si>
  <si>
    <r>
      <t>sly-TAS5</t>
    </r>
    <r>
      <rPr>
        <sz val="10"/>
        <color theme="1"/>
        <rFont val="Times New Roman"/>
        <family val="1"/>
      </rPr>
      <t>-like NC_012024.3_chr18:</t>
    </r>
    <r>
      <rPr>
        <sz val="12"/>
        <color theme="1"/>
        <rFont val="Times New Roman"/>
        <family val="1"/>
      </rPr>
      <t xml:space="preserve"> </t>
    </r>
    <r>
      <rPr>
        <sz val="10"/>
        <color theme="1"/>
        <rFont val="Times New Roman"/>
        <family val="1"/>
      </rPr>
      <t xml:space="preserve">20665102-20666018 D12(-) </t>
    </r>
    <r>
      <rPr>
        <sz val="10"/>
        <color theme="1"/>
        <rFont val="Wingdings"/>
        <charset val="2"/>
      </rPr>
      <t>à</t>
    </r>
    <r>
      <rPr>
        <sz val="10"/>
        <color theme="1"/>
        <rFont val="Times New Roman"/>
        <family val="1"/>
      </rPr>
      <t xml:space="preserve"> </t>
    </r>
    <r>
      <rPr>
        <sz val="12"/>
        <color theme="1"/>
        <rFont val="Times New Roman"/>
        <family val="1"/>
      </rPr>
      <t xml:space="preserve"> </t>
    </r>
    <r>
      <rPr>
        <sz val="10"/>
        <color theme="1"/>
        <rFont val="Times New Roman"/>
        <family val="1"/>
      </rPr>
      <t xml:space="preserve">VIT_00s0238g00130; D(6+) </t>
    </r>
    <r>
      <rPr>
        <sz val="10"/>
        <color theme="1"/>
        <rFont val="Wingdings"/>
        <charset val="2"/>
      </rPr>
      <t>à</t>
    </r>
    <r>
      <rPr>
        <sz val="10"/>
        <color theme="1"/>
        <rFont val="Times New Roman"/>
        <family val="1"/>
      </rPr>
      <t xml:space="preserve"> VIT_12s0034g01310 and VIT_12s0034g01350</t>
    </r>
  </si>
  <si>
    <r>
      <t xml:space="preserve">Li </t>
    </r>
    <r>
      <rPr>
        <i/>
        <sz val="10"/>
        <color theme="1"/>
        <rFont val="Times New Roman"/>
        <family val="1"/>
      </rPr>
      <t>et al</t>
    </r>
    <r>
      <rPr>
        <sz val="10"/>
        <color theme="1"/>
        <rFont val="Times New Roman"/>
        <family val="1"/>
      </rPr>
      <t xml:space="preserve">., 2012; Xia </t>
    </r>
    <r>
      <rPr>
        <i/>
        <sz val="10"/>
        <color theme="1"/>
        <rFont val="Times New Roman"/>
        <family val="1"/>
      </rPr>
      <t>et al</t>
    </r>
    <r>
      <rPr>
        <sz val="10"/>
        <color theme="1"/>
        <rFont val="Times New Roman"/>
        <family val="1"/>
      </rPr>
      <t>., 2013</t>
    </r>
  </si>
  <si>
    <t>unknown</t>
  </si>
  <si>
    <t>0.59$</t>
  </si>
  <si>
    <t>NC_012007.3_chr1:</t>
  </si>
  <si>
    <t>13356141-13357440</t>
  </si>
  <si>
    <t>(Phasi trigger: unannotated PPR, VIT_11s0016g02500)</t>
  </si>
  <si>
    <r>
      <t xml:space="preserve">*Bonferroni-Hochberg Family-wise False Discovery Rate-adjusted (α=0.1) , based on all </t>
    </r>
    <r>
      <rPr>
        <i/>
        <sz val="10"/>
        <color theme="1"/>
        <rFont val="Times New Roman"/>
        <family val="1"/>
      </rPr>
      <t>172 MIRNA</t>
    </r>
    <r>
      <rPr>
        <sz val="10"/>
        <color theme="1"/>
        <rFont val="Times New Roman"/>
        <family val="1"/>
      </rPr>
      <t xml:space="preserve"> loci tested. NA: not analyzed due to low reads abundance.</t>
    </r>
  </si>
  <si>
    <t>$ LFC refers to candidate target phasi locus. NB-LRR VIT12s0034g01310 (phase score=342.8), predicted target of chr18 tasiRNA D6(+) identified by PhaseTank, and  VIT_12s0034g01350 (phase score=398.3); Supplementary Table 4, File S5. Validated NB-ARC target of sly-TAS5-like tasiRNA D12(-) VIT_00s0238g00130 by degradome data, and seven other predicted NB-ARC targets (Suppl. Tables 2b and 4; Suppl. File S5).</t>
  </si>
  <si>
    <r>
      <t xml:space="preserve">^ </t>
    </r>
    <r>
      <rPr>
        <i/>
        <sz val="10"/>
        <color theme="1"/>
        <rFont val="Times New Roman"/>
        <family val="1"/>
      </rPr>
      <t>TAS4b</t>
    </r>
    <r>
      <rPr>
        <sz val="10"/>
        <color theme="1"/>
        <rFont val="Times New Roman"/>
        <family val="1"/>
      </rPr>
      <t xml:space="preserve"> LFC by UV = 1.1 (</t>
    </r>
    <r>
      <rPr>
        <i/>
        <sz val="10"/>
        <color theme="1"/>
        <rFont val="Times New Roman"/>
        <family val="1"/>
      </rPr>
      <t>P</t>
    </r>
    <r>
      <rPr>
        <sz val="10"/>
        <color theme="1"/>
        <rFont val="Times New Roman"/>
        <family val="1"/>
      </rPr>
      <t xml:space="preserve"> = 0.005; family-wise FDR-adjusted).</t>
    </r>
  </si>
  <si>
    <r>
      <t>Table S3b summary.</t>
    </r>
    <r>
      <rPr>
        <sz val="12"/>
        <color theme="1"/>
        <rFont val="Times New Roman"/>
        <family val="1"/>
      </rPr>
      <t xml:space="preserve"> Differential expression of miRNAs in berries subjected to UV-B radiation. </t>
    </r>
    <r>
      <rPr>
        <b/>
        <i/>
        <sz val="12"/>
        <color theme="1"/>
        <rFont val="Times New Roman"/>
        <family val="1"/>
      </rPr>
      <t>C:</t>
    </r>
    <r>
      <rPr>
        <sz val="12"/>
        <color theme="1"/>
        <rFont val="Times New Roman"/>
        <family val="1"/>
      </rPr>
      <t xml:space="preserve"> Conserved miRNA; </t>
    </r>
    <r>
      <rPr>
        <b/>
        <i/>
        <sz val="12"/>
        <color theme="1"/>
        <rFont val="Times New Roman"/>
        <family val="1"/>
      </rPr>
      <t>NC:</t>
    </r>
    <r>
      <rPr>
        <sz val="12"/>
        <color theme="1"/>
        <rFont val="Times New Roman"/>
        <family val="1"/>
      </rPr>
      <t xml:space="preserve"> Non-conserved miRNA; </t>
    </r>
    <r>
      <rPr>
        <b/>
        <i/>
        <sz val="12"/>
        <color theme="1"/>
        <rFont val="Times New Roman"/>
        <family val="1"/>
      </rPr>
      <t>N:</t>
    </r>
    <r>
      <rPr>
        <sz val="12"/>
        <color theme="1"/>
        <rFont val="Times New Roman"/>
        <family val="1"/>
      </rPr>
      <t xml:space="preserve"> Novel miRNA</t>
    </r>
  </si>
  <si>
    <r>
      <t>Table S3a summary</t>
    </r>
    <r>
      <rPr>
        <sz val="12"/>
        <color theme="1"/>
        <rFont val="Times New Roman"/>
        <family val="1"/>
      </rPr>
      <t>. Differential expression of miRNAs in in vitro plantlets subjected to UV-B radiation. C: Conserved miRNA; NC: Non-conserved miRNA; N: Novel miRNA</t>
    </r>
  </si>
  <si>
    <t>Phase Score</t>
  </si>
  <si>
    <t>calcium-transporting ATPase10</t>
  </si>
  <si>
    <t>Grapevine peach, apple</t>
  </si>
  <si>
    <t>Major Facilitator PHT1_3/PHO84; inorganic phosphate transporter</t>
  </si>
  <si>
    <r>
      <t xml:space="preserve">Mica </t>
    </r>
    <r>
      <rPr>
        <i/>
        <sz val="10"/>
        <color theme="1"/>
        <rFont val="Times New Roman"/>
        <family val="1"/>
      </rPr>
      <t>et al</t>
    </r>
    <r>
      <rPr>
        <sz val="10"/>
        <color theme="1"/>
        <rFont val="Times New Roman"/>
        <family val="1"/>
      </rPr>
      <t>., 2010</t>
    </r>
  </si>
  <si>
    <t xml:space="preserve">ARF6, ARF8, ARF6-Like; predicted bulge target nt10 </t>
  </si>
  <si>
    <r>
      <t xml:space="preserve">Paim-Pinto </t>
    </r>
    <r>
      <rPr>
        <i/>
        <sz val="10"/>
        <color theme="1"/>
        <rFont val="Times New Roman"/>
        <family val="1"/>
      </rPr>
      <t>et al</t>
    </r>
    <r>
      <rPr>
        <sz val="10"/>
        <color theme="1"/>
        <rFont val="Times New Roman"/>
        <family val="1"/>
      </rPr>
      <t xml:space="preserve">., 2016; Wang </t>
    </r>
    <r>
      <rPr>
        <i/>
        <sz val="10"/>
        <color theme="1"/>
        <rFont val="Times New Roman"/>
        <family val="1"/>
      </rPr>
      <t>et al</t>
    </r>
    <r>
      <rPr>
        <sz val="10"/>
        <color theme="1"/>
        <rFont val="Times New Roman"/>
        <family val="1"/>
      </rPr>
      <t>., 2013</t>
    </r>
  </si>
  <si>
    <t>AGO2</t>
  </si>
  <si>
    <t>vvi-MIR3632-3p; 22 nt species</t>
  </si>
  <si>
    <t xml:space="preserve">six NB-ARC disease resistance LRRs rga4-like </t>
  </si>
  <si>
    <t>Pantaleo et al., 2016</t>
  </si>
  <si>
    <t>Sun et al. 2015</t>
  </si>
  <si>
    <t>Fan et al. 2015</t>
  </si>
  <si>
    <t>vvi-MIR169c-5p isoMIR</t>
  </si>
  <si>
    <t>Five Nuclear transcription factor Y subunit A- related; JAZ3_1/VvJAZI_TIFY transcription corepressor; Zinc finger At1g75340-like</t>
  </si>
  <si>
    <r>
      <t xml:space="preserve">Gyula </t>
    </r>
    <r>
      <rPr>
        <i/>
        <sz val="10"/>
        <color theme="1"/>
        <rFont val="Times New Roman"/>
        <family val="1"/>
      </rPr>
      <t>et al.</t>
    </r>
    <r>
      <rPr>
        <sz val="10"/>
        <color theme="1"/>
        <rFont val="Times New Roman"/>
        <family val="1"/>
      </rPr>
      <t xml:space="preserve">, 2018 Paim-Pinto </t>
    </r>
    <r>
      <rPr>
        <i/>
        <sz val="10"/>
        <color theme="1"/>
        <rFont val="Times New Roman"/>
        <family val="1"/>
      </rPr>
      <t>et al</t>
    </r>
    <r>
      <rPr>
        <sz val="10"/>
        <color theme="1"/>
        <rFont val="Times New Roman"/>
        <family val="1"/>
      </rPr>
      <t>., 2016</t>
    </r>
  </si>
  <si>
    <t xml:space="preserve">See Table 3; </t>
  </si>
  <si>
    <t>None predicted</t>
  </si>
  <si>
    <t>novel-2; 24 nt species</t>
  </si>
  <si>
    <t>novel_aly-MIR3435-hp-like</t>
  </si>
  <si>
    <t>Four APETALA2-like TFs</t>
  </si>
  <si>
    <r>
      <t xml:space="preserve">vvi-MIR828 targeted </t>
    </r>
    <r>
      <rPr>
        <i/>
        <sz val="10"/>
        <color theme="1"/>
        <rFont val="Times New Roman"/>
        <family val="1"/>
      </rPr>
      <t>TAS4a</t>
    </r>
  </si>
  <si>
    <t>MYBA6/MYBA7</t>
  </si>
  <si>
    <t>eudicots</t>
  </si>
  <si>
    <t>NC_012020.3_chr14:21607803-21608825</t>
  </si>
  <si>
    <t>Rock, 2013</t>
  </si>
  <si>
    <t>TAS4c</t>
  </si>
  <si>
    <t>NC_012007.3_chr1:2960325-2961696</t>
  </si>
  <si>
    <t>vvi-MIR7122; 22 nt species</t>
  </si>
  <si>
    <t>0.61$</t>
  </si>
  <si>
    <t>vvi-MIR828 MYB target</t>
  </si>
  <si>
    <t>0.99$</t>
  </si>
  <si>
    <t>MYB</t>
  </si>
  <si>
    <t>Gymnosperms, eudicots</t>
  </si>
  <si>
    <t>NC_012015.3_chr9:1161752-1163111; VIT_09s0002g01380</t>
  </si>
  <si>
    <r>
      <t xml:space="preserve">Pantaleo </t>
    </r>
    <r>
      <rPr>
        <i/>
        <sz val="10"/>
        <color theme="1"/>
        <rFont val="Times New Roman"/>
        <family val="1"/>
      </rPr>
      <t>et al</t>
    </r>
    <r>
      <rPr>
        <sz val="10"/>
        <color theme="1"/>
        <rFont val="Times New Roman"/>
        <family val="1"/>
      </rPr>
      <t xml:space="preserve">., 2010; Luo </t>
    </r>
    <r>
      <rPr>
        <i/>
        <sz val="10"/>
        <color theme="1"/>
        <rFont val="Times New Roman"/>
        <family val="1"/>
      </rPr>
      <t>et al.</t>
    </r>
    <r>
      <rPr>
        <sz val="10"/>
        <color theme="1"/>
        <rFont val="Times New Roman"/>
        <family val="1"/>
      </rPr>
      <t>, 2012</t>
    </r>
  </si>
  <si>
    <t>LRR target</t>
  </si>
  <si>
    <t>0.74$</t>
  </si>
  <si>
    <t>NB-LRR</t>
  </si>
  <si>
    <t>grapevine</t>
  </si>
  <si>
    <r>
      <t>vvi-sly-TAS5-like</t>
    </r>
    <r>
      <rPr>
        <sz val="10"/>
        <color theme="1"/>
        <rFont val="Times New Roman"/>
        <family val="1"/>
      </rPr>
      <t xml:space="preserve"> NC_012024.3_chr18: 20665102-20666018 D6(+) </t>
    </r>
    <r>
      <rPr>
        <sz val="10"/>
        <color theme="1"/>
        <rFont val="Wingdings"/>
        <charset val="2"/>
      </rPr>
      <t>à</t>
    </r>
    <r>
      <rPr>
        <sz val="10"/>
        <color theme="1"/>
        <rFont val="Times New Roman"/>
        <family val="1"/>
      </rPr>
      <t xml:space="preserve"> VIT_12s0034g01350  </t>
    </r>
  </si>
  <si>
    <r>
      <t xml:space="preserve">This report Li </t>
    </r>
    <r>
      <rPr>
        <i/>
        <sz val="10"/>
        <color theme="1"/>
        <rFont val="Times New Roman"/>
        <family val="1"/>
      </rPr>
      <t>et al</t>
    </r>
    <r>
      <rPr>
        <sz val="10"/>
        <color theme="1"/>
        <rFont val="Times New Roman"/>
        <family val="1"/>
      </rPr>
      <t xml:space="preserve">., 2012; Xia </t>
    </r>
    <r>
      <rPr>
        <i/>
        <sz val="10"/>
        <color theme="1"/>
        <rFont val="Times New Roman"/>
        <family val="1"/>
      </rPr>
      <t>et al</t>
    </r>
    <r>
      <rPr>
        <sz val="10"/>
        <color theme="1"/>
        <rFont val="Times New Roman"/>
        <family val="1"/>
      </rPr>
      <t>., 2013</t>
    </r>
  </si>
  <si>
    <r>
      <t>TAS3</t>
    </r>
    <r>
      <rPr>
        <sz val="10"/>
        <color theme="1"/>
        <rFont val="Times New Roman"/>
        <family val="1"/>
      </rPr>
      <t>, miR390 target</t>
    </r>
  </si>
  <si>
    <t>D7(+): ARF2,3,4</t>
  </si>
  <si>
    <t>D2(-):3' UTR of TOPOISOMERASE II-ASSOCIATED PROTEIN</t>
  </si>
  <si>
    <t>D5(-):3' UTR of Zinc finger RING/FYVE/PHD</t>
  </si>
  <si>
    <r>
      <t>NC_012011.3_chr5:</t>
    </r>
    <r>
      <rPr>
        <sz val="12"/>
        <color theme="1"/>
        <rFont val="Times New Roman"/>
        <family val="1"/>
      </rPr>
      <t xml:space="preserve"> </t>
    </r>
    <r>
      <rPr>
        <sz val="10"/>
        <color theme="1"/>
        <rFont val="Times New Roman"/>
        <family val="1"/>
      </rPr>
      <t>358508-360140</t>
    </r>
  </si>
  <si>
    <r>
      <t xml:space="preserve">Xia </t>
    </r>
    <r>
      <rPr>
        <i/>
        <sz val="10"/>
        <color theme="1"/>
        <rFont val="Times New Roman"/>
        <family val="1"/>
      </rPr>
      <t>et al</t>
    </r>
    <r>
      <rPr>
        <sz val="10"/>
        <color theme="1"/>
        <rFont val="Times New Roman"/>
        <family val="1"/>
      </rPr>
      <t xml:space="preserve">., 2013; Zhang </t>
    </r>
    <r>
      <rPr>
        <i/>
        <sz val="10"/>
        <color theme="1"/>
        <rFont val="Times New Roman"/>
        <family val="1"/>
      </rPr>
      <t>et al</t>
    </r>
    <r>
      <rPr>
        <sz val="10"/>
        <color theme="1"/>
        <rFont val="Times New Roman"/>
        <family val="1"/>
      </rPr>
      <t>., 2012</t>
    </r>
  </si>
  <si>
    <t>Unknown trigger</t>
  </si>
  <si>
    <t>NC_012011.3_chr5: 6017171-6018107</t>
  </si>
  <si>
    <r>
      <t>*Bonferroni-Hochberg Family-wise False Discovery Rate-adjusted (α=0.1) , based on all 189</t>
    </r>
    <r>
      <rPr>
        <i/>
        <sz val="10"/>
        <color theme="1"/>
        <rFont val="Times New Roman"/>
        <family val="1"/>
      </rPr>
      <t xml:space="preserve"> MIRNA</t>
    </r>
    <r>
      <rPr>
        <sz val="10"/>
        <color theme="1"/>
        <rFont val="Times New Roman"/>
        <family val="1"/>
      </rPr>
      <t xml:space="preserve"> loci tested, minus those (108) loci  that were independently filtered out by DESeq2 due to low counts cutoff (&lt;7.8 base mean reads per library).</t>
    </r>
  </si>
  <si>
    <r>
      <t xml:space="preserve">$ LFC and </t>
    </r>
    <r>
      <rPr>
        <i/>
        <sz val="10"/>
        <color theme="1"/>
        <rFont val="Times New Roman"/>
        <family val="1"/>
      </rPr>
      <t>P</t>
    </r>
    <r>
      <rPr>
        <sz val="10"/>
        <color theme="1"/>
        <rFont val="Times New Roman"/>
        <family val="1"/>
      </rPr>
      <t xml:space="preserve"> values for target LLR and MYB phasi-RNAs; degradome validated (Supplementary Table 4, File S5).</t>
    </r>
  </si>
  <si>
    <r>
      <t>Table S3c summary.</t>
    </r>
    <r>
      <rPr>
        <sz val="12"/>
        <color theme="1"/>
        <rFont val="Times New Roman"/>
        <family val="1"/>
      </rPr>
      <t xml:space="preserve"> Differential expression of miRNAs in berries subjected to high versus low fluence UV-B radiation. </t>
    </r>
    <r>
      <rPr>
        <b/>
        <i/>
        <sz val="12"/>
        <color theme="1"/>
        <rFont val="Times New Roman"/>
        <family val="1"/>
      </rPr>
      <t>C:</t>
    </r>
    <r>
      <rPr>
        <sz val="12"/>
        <color theme="1"/>
        <rFont val="Times New Roman"/>
        <family val="1"/>
      </rPr>
      <t xml:space="preserve"> Conserved miRNA; </t>
    </r>
    <r>
      <rPr>
        <b/>
        <i/>
        <sz val="12"/>
        <color theme="1"/>
        <rFont val="Times New Roman"/>
        <family val="1"/>
      </rPr>
      <t>NC:</t>
    </r>
    <r>
      <rPr>
        <sz val="12"/>
        <color theme="1"/>
        <rFont val="Times New Roman"/>
        <family val="1"/>
      </rPr>
      <t xml:space="preserve"> Non-conserved miRNA; </t>
    </r>
    <r>
      <rPr>
        <b/>
        <i/>
        <sz val="12"/>
        <color theme="1"/>
        <rFont val="Times New Roman"/>
        <family val="1"/>
      </rPr>
      <t>N:</t>
    </r>
    <r>
      <rPr>
        <sz val="12"/>
        <color theme="1"/>
        <rFont val="Times New Roman"/>
        <family val="1"/>
      </rPr>
      <t xml:space="preserve"> Novel miRNA</t>
    </r>
  </si>
  <si>
    <t>miRNA/Phasi trigger</t>
  </si>
  <si>
    <t>log2 FC</t>
  </si>
  <si>
    <t>Pearson corr. to 3 wk time progression</t>
  </si>
  <si>
    <r>
      <t>P</t>
    </r>
    <r>
      <rPr>
        <b/>
        <sz val="10"/>
        <color theme="1"/>
        <rFont val="Times New Roman"/>
        <family val="1"/>
      </rPr>
      <t xml:space="preserve"> val, inverse correlation target mRNAs#</t>
    </r>
  </si>
  <si>
    <t>Three NAC domain TFs</t>
  </si>
  <si>
    <t>ARF6/8-like TFs</t>
  </si>
  <si>
    <t xml:space="preserve">7 GRFs; bZIP#. </t>
  </si>
  <si>
    <t>novel_aly-MIR3435-</t>
  </si>
  <si>
    <t>hp-like</t>
  </si>
  <si>
    <t>vvi-MIR166a-3p</t>
  </si>
  <si>
    <t>REVOLUTA_2</t>
  </si>
  <si>
    <t>GRFs see above</t>
  </si>
  <si>
    <t>F-box X6/At1g27340-like#</t>
  </si>
  <si>
    <t>0.0003, 0.02</t>
  </si>
  <si>
    <t>AGO1</t>
  </si>
  <si>
    <t>calcium ATPase10 5' UTR intron2</t>
  </si>
  <si>
    <t>vvi-MIR827</t>
  </si>
  <si>
    <t>None predicted; canonical target is Major Facilitator Superfamily SPX transporter</t>
  </si>
  <si>
    <t>vvi-MIR3632-3p, 22 nt species</t>
  </si>
  <si>
    <t>NB-ARC</t>
  </si>
  <si>
    <t>See Table 3 targets</t>
  </si>
  <si>
    <t xml:space="preserve">AGO1; </t>
  </si>
  <si>
    <t>Plus3 domain; PPR DYW deaminase</t>
  </si>
  <si>
    <t>DICER1#</t>
  </si>
  <si>
    <t xml:space="preserve">Six homeobox-START domain leucine zipper TFs </t>
  </si>
  <si>
    <t xml:space="preserve">SPL TFs # </t>
  </si>
  <si>
    <t>0.02, 0.11</t>
  </si>
  <si>
    <t>auxin receptor TIR1</t>
  </si>
  <si>
    <t>F-box protein#</t>
  </si>
  <si>
    <t xml:space="preserve">bHLH </t>
  </si>
  <si>
    <t xml:space="preserve">NC_012013.3_chr7:2354212-2355484 TIR1-like; VIT_07s0104g01320; </t>
  </si>
  <si>
    <t>NC_012020.3_chr14:5734480-5735060, TIR1-like LRR-F-box, VIT_14s0030g01240</t>
  </si>
  <si>
    <t>NC_012020.3_chr14:25059817-25060229, TIR1-like LRR-F-box, 14s0068g01330</t>
  </si>
  <si>
    <t>NC_012011.3_chr5:15017243-15018668 bHLH; VIT_05s0029g00390</t>
  </si>
  <si>
    <t>novel vvi-MIR3631b-like, 24 nt species</t>
  </si>
  <si>
    <t>protein kinase SYM10 Nod factor recognition protein</t>
  </si>
  <si>
    <t>vvi-MIR3630-3p</t>
  </si>
  <si>
    <t>0.0007, 0.004</t>
  </si>
  <si>
    <t>APETELA2#</t>
  </si>
  <si>
    <t>7E-5, 0.03</t>
  </si>
  <si>
    <t>Five GRAS family transcription factors (scarecrow-like protein)</t>
  </si>
  <si>
    <t xml:space="preserve">NBS-LRR </t>
  </si>
  <si>
    <t>NC_012019.3_chr13:21550011-21551376^</t>
  </si>
  <si>
    <t>novel-gra-MIR8761-like; 24 nt species</t>
  </si>
  <si>
    <t>vvi-MIR3634*; 23 nt species</t>
  </si>
  <si>
    <t>mature: none predicted</t>
  </si>
  <si>
    <t>vvi-MIR530b</t>
  </si>
  <si>
    <t>Plus3 domain#; PPR DYW deaminase; AGO1 predicted</t>
  </si>
  <si>
    <t>vvi-MIR395l,h</t>
  </si>
  <si>
    <t>AST68, Low affinity sulfate transporter ; ATP sulfurylase 1</t>
  </si>
  <si>
    <t>0.0005, 0.02</t>
  </si>
  <si>
    <t>novel mtr-MIR5741e/gra-MIR8685</t>
  </si>
  <si>
    <t>see above TIR1-L</t>
  </si>
  <si>
    <t>vvi-MIR171b isomiR</t>
  </si>
  <si>
    <t>GRAS family transcription factor (scarecrow-like protein)</t>
  </si>
  <si>
    <t>homeobox-leucine zipper protein</t>
  </si>
  <si>
    <t>novel ddi-mir-7099-hairpin-like, 24 nt species</t>
  </si>
  <si>
    <t>vvi-MIR828a_star_</t>
  </si>
  <si>
    <t>sequenced$</t>
  </si>
  <si>
    <t>miR828 targets MYB transcription factors;TAS4</t>
  </si>
  <si>
    <t>VIT_17s0000g08480</t>
  </si>
  <si>
    <t>Validated degradome</t>
  </si>
  <si>
    <t>NC_012023.3_chr17:9703075-9703885</t>
  </si>
  <si>
    <t>MYB156 Validated degradome</t>
  </si>
  <si>
    <t>VIT_14s0066g01220</t>
  </si>
  <si>
    <t>NC_012020.3_chr14:27707780-27708673</t>
  </si>
  <si>
    <t>VIT_09s0002g01380</t>
  </si>
  <si>
    <t>NC_012015.3_chr9:1161752-1163111</t>
  </si>
  <si>
    <t>reported degradome MYBPAL1</t>
  </si>
  <si>
    <t>VIT_00s0341g00050</t>
  </si>
  <si>
    <t>NW_003724301.1_unplaced_scaffold_341:36614-37231</t>
  </si>
  <si>
    <r>
      <t>7E-6</t>
    </r>
    <r>
      <rPr>
        <vertAlign val="superscript"/>
        <sz val="10"/>
        <color theme="1"/>
        <rFont val="Times New Roman"/>
        <family val="1"/>
      </rPr>
      <t>&amp;</t>
    </r>
  </si>
  <si>
    <t>reported degradome</t>
  </si>
  <si>
    <t>VIT_01s0127g00730</t>
  </si>
  <si>
    <t>NC_012007.3_chr1:8079523-8080268</t>
  </si>
  <si>
    <t>TAS4a</t>
  </si>
  <si>
    <t>chr14:21607803-21608825</t>
  </si>
  <si>
    <t>TAS4b</t>
  </si>
  <si>
    <t>chr14:21534542-21535069</t>
  </si>
  <si>
    <r>
      <t>chr1:</t>
    </r>
    <r>
      <rPr>
        <sz val="12"/>
        <color theme="1"/>
        <rFont val="Times New Roman"/>
        <family val="1"/>
      </rPr>
      <t xml:space="preserve"> </t>
    </r>
    <r>
      <rPr>
        <sz val="10"/>
        <color rgb="FF000000"/>
        <rFont val="Times New Roman"/>
        <family val="1"/>
      </rPr>
      <t>2961251:2961747</t>
    </r>
  </si>
  <si>
    <t>MYBA7; TAS4b-3'D4(-) trigger</t>
  </si>
  <si>
    <t>VIT_14s0006g01280</t>
  </si>
  <si>
    <t>NC_012020.3_chr14:16644828-16645711</t>
  </si>
  <si>
    <t>MYBA6; TAS4a-3'D4(-) trigger</t>
  </si>
  <si>
    <t>VIT_14s0006g01290</t>
  </si>
  <si>
    <t>NC_012020.3_chr14:16885252-16885857</t>
  </si>
  <si>
    <t>No predicted targets for abundant phasi-RNA</t>
  </si>
  <si>
    <t>5'UTR VIT_18s0089g00510</t>
  </si>
  <si>
    <t>NC_012024.3_chr18:28294527-28296187</t>
  </si>
  <si>
    <t>*Bonferroni-Hochberg False Discovery Rate-adjusted (α=0.1) 34,074 independently filtered (for low counts) siRNA-producing loci tested.</t>
  </si>
  <si>
    <r>
      <t xml:space="preserve">^ log2FC by development = -0.21, </t>
    </r>
    <r>
      <rPr>
        <i/>
        <sz val="10"/>
        <color rgb="FF000000"/>
        <rFont val="Times New Roman"/>
        <family val="1"/>
      </rPr>
      <t>P</t>
    </r>
    <r>
      <rPr>
        <sz val="10"/>
        <color rgb="FF000000"/>
        <rFont val="Times New Roman"/>
        <family val="1"/>
      </rPr>
      <t xml:space="preserve"> = 0.003. Candidate TAS-like locus validated by degradome; tasiRNAs not predicted to target mRNAs.</t>
    </r>
  </si>
  <si>
    <r>
      <t>$ log2FC = -0.3 by development of miR828 inferred by abundance of miR828* species (</t>
    </r>
    <r>
      <rPr>
        <i/>
        <sz val="10"/>
        <color rgb="FF000000"/>
        <rFont val="Times New Roman"/>
        <family val="1"/>
      </rPr>
      <t>P</t>
    </r>
    <r>
      <rPr>
        <sz val="10"/>
        <color rgb="FF000000"/>
        <rFont val="Times New Roman"/>
        <family val="1"/>
      </rPr>
      <t xml:space="preserve"> = 0.24).</t>
    </r>
  </si>
  <si>
    <r>
      <t xml:space="preserve"># data for differentially expressed miRNA target loci in red variety berry skins over four developmental timepoints, from Massonnet </t>
    </r>
    <r>
      <rPr>
        <i/>
        <sz val="10"/>
        <color rgb="FF000000"/>
        <rFont val="Times New Roman"/>
        <family val="1"/>
      </rPr>
      <t>et al</t>
    </r>
    <r>
      <rPr>
        <sz val="10"/>
        <color rgb="FF000000"/>
        <rFont val="Times New Roman"/>
        <family val="1"/>
      </rPr>
      <t>. (2017). See Supplementary Table 2b for fold changes</t>
    </r>
  </si>
  <si>
    <r>
      <t>&amp;</t>
    </r>
    <r>
      <rPr>
        <sz val="10"/>
        <color rgb="FF000000"/>
        <rFont val="Times New Roman"/>
        <family val="1"/>
      </rPr>
      <t xml:space="preserve"> </t>
    </r>
    <r>
      <rPr>
        <i/>
        <sz val="10"/>
        <color rgb="FF000000"/>
        <rFont val="Times New Roman"/>
        <family val="1"/>
      </rPr>
      <t>P</t>
    </r>
    <r>
      <rPr>
        <sz val="10"/>
        <color rgb="FF000000"/>
        <rFont val="Times New Roman"/>
        <family val="1"/>
      </rPr>
      <t xml:space="preserve"> value for the predicted target E3 ligase </t>
    </r>
    <r>
      <rPr>
        <i/>
        <sz val="10"/>
        <color rgb="FF000000"/>
        <rFont val="Times New Roman"/>
        <family val="1"/>
      </rPr>
      <t>VIT_08s0040g03270</t>
    </r>
    <r>
      <rPr>
        <sz val="10"/>
        <color rgb="FF000000"/>
        <rFont val="Times New Roman"/>
        <family val="1"/>
      </rPr>
      <t xml:space="preserve"> inverse relationship to MYBPAL1 siRNA-3'D3(-). Also see up-regulation of MYB itself (</t>
    </r>
    <r>
      <rPr>
        <i/>
        <sz val="10"/>
        <color rgb="FF000000"/>
        <rFont val="Times New Roman"/>
        <family val="1"/>
      </rPr>
      <t>p</t>
    </r>
    <r>
      <rPr>
        <sz val="10"/>
        <color rgb="FF000000"/>
        <rFont val="Times New Roman"/>
        <family val="1"/>
      </rPr>
      <t xml:space="preserve"> = 0.11), suggesting functional inverse correlation to self siRNAs.</t>
    </r>
  </si>
  <si>
    <r>
      <t>Table S3d summary.</t>
    </r>
    <r>
      <rPr>
        <sz val="12"/>
        <color theme="1"/>
        <rFont val="Times New Roman"/>
        <family val="1"/>
      </rPr>
      <t xml:space="preserve"> Differential expression of miRNAs in berries under different developmental stages. miRNAs that are up-regulated during berry development have log2FC column in </t>
    </r>
    <r>
      <rPr>
        <b/>
        <sz val="12"/>
        <color theme="1"/>
        <rFont val="Times New Roman"/>
        <family val="1"/>
      </rPr>
      <t>bold</t>
    </r>
    <r>
      <rPr>
        <sz val="12"/>
        <color theme="1"/>
        <rFont val="Times New Roman"/>
        <family val="1"/>
      </rPr>
      <t>.</t>
    </r>
  </si>
  <si>
    <t>Supplementary Table S3c. DESeq2 output and associated ShortStack raw Counts dataset parameters summarized for target functions below, and normalized reads per 20M for visualization of UV High fluence response vs. Low fluence.</t>
  </si>
  <si>
    <t>Supplementary Table S3b. DESeq2 output and associated ShortStack raw Counts dataset parameters summarized for target functions below, and normalized reads per 20M for visualization of UV and developmental time effects.</t>
  </si>
  <si>
    <t>Supplementary Table S3a. DESeq2 output and associated ShortStack raw Counts dataset parameters summarized for target functions below, and normalized reads per 20M for visualization of in vitro plantlet UV effects.</t>
  </si>
  <si>
    <t>Supplementary Table S3d. DESeq2 output and associated ShortStack raw Counts dataset parameters summarized for target functions, sRNA change direction, and target change correlations  below, and normalized reads per 20M for visualization of developmental time effects.</t>
  </si>
  <si>
    <t>See Supplementary Table 3c targets</t>
  </si>
  <si>
    <t>miR482trigger, sheet "a". TAS11. Cluster_24562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</si>
</sst>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00"/>
    <numFmt numFmtId="166" formatCode="0.0000"/>
  </numFmts>
  <fonts count="18" x14ac:knownFonts="1">
    <font>
      <sz val="11"/>
      <color theme="1"/>
      <name val="Calibri"/>
      <family val="2"/>
      <scheme val="minor"/>
    </font>
    <font>
      <sz val="8"/>
      <color theme="1"/>
      <name val="Calibri"/>
      <family val="2"/>
      <scheme val="minor"/>
    </font>
    <font>
      <sz val="12"/>
      <color theme="1"/>
      <name val="Times New Roman"/>
      <family val="1"/>
    </font>
    <font>
      <b/>
      <sz val="12"/>
      <color theme="1"/>
      <name val="Times New Roman"/>
      <family val="1"/>
    </font>
    <font>
      <b/>
      <sz val="10"/>
      <color theme="1"/>
      <name val="Times New Roman"/>
      <family val="1"/>
    </font>
    <font>
      <b/>
      <i/>
      <sz val="12"/>
      <color theme="1"/>
      <name val="Times New Roman"/>
      <family val="1"/>
    </font>
    <font>
      <b/>
      <i/>
      <sz val="10"/>
      <color theme="1"/>
      <name val="Times New Roman"/>
      <family val="1"/>
    </font>
    <font>
      <sz val="10"/>
      <color theme="1"/>
      <name val="Times New Roman"/>
      <family val="1"/>
    </font>
    <font>
      <i/>
      <sz val="10"/>
      <color theme="1"/>
      <name val="Times New Roman"/>
      <family val="1"/>
    </font>
    <font>
      <sz val="10"/>
      <color theme="1"/>
      <name val="Wingdings"/>
      <charset val="2"/>
    </font>
    <font>
      <sz val="10"/>
      <color theme="1"/>
      <name val="Courier New"/>
      <family val="3"/>
    </font>
    <font>
      <sz val="10"/>
      <color rgb="FF403838"/>
      <name val="Times New Roman"/>
      <family val="1"/>
    </font>
    <font>
      <sz val="10"/>
      <color rgb="FF000000"/>
      <name val="Times New Roman"/>
      <family val="1"/>
    </font>
    <font>
      <b/>
      <sz val="10"/>
      <color rgb="FF000000"/>
      <name val="Times New Roman"/>
      <family val="1"/>
    </font>
    <font>
      <sz val="10"/>
      <color rgb="FF333333"/>
      <name val="Times New Roman"/>
      <family val="1"/>
    </font>
    <font>
      <vertAlign val="superscript"/>
      <sz val="10"/>
      <color theme="1"/>
      <name val="Times New Roman"/>
      <family val="1"/>
    </font>
    <font>
      <i/>
      <sz val="10"/>
      <color rgb="FF000000"/>
      <name val="Times New Roman"/>
      <family val="1"/>
    </font>
    <font>
      <vertAlign val="superscript"/>
      <sz val="10"/>
      <color rgb="FF000000"/>
      <name val="Times New Roman"/>
      <family val="1"/>
    </font>
  </fonts>
  <fills count="9">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5" tint="0.79998168889431442"/>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132">
    <xf numFmtId="0" fontId="0" fillId="0" borderId="0" xfId="0"/>
    <xf numFmtId="0" fontId="0" fillId="2" borderId="0" xfId="0" applyFill="1"/>
    <xf numFmtId="1" fontId="0" fillId="0" borderId="0" xfId="0" applyNumberFormat="1"/>
    <xf numFmtId="1" fontId="1" fillId="0" borderId="0" xfId="0" applyNumberFormat="1" applyFont="1"/>
    <xf numFmtId="1" fontId="0" fillId="3" borderId="0" xfId="0" applyNumberFormat="1" applyFill="1"/>
    <xf numFmtId="0" fontId="0" fillId="0" borderId="0" xfId="0" applyFill="1"/>
    <xf numFmtId="164" fontId="0" fillId="0" borderId="0" xfId="0" applyNumberFormat="1"/>
    <xf numFmtId="11" fontId="0" fillId="0" borderId="0" xfId="0" applyNumberFormat="1"/>
    <xf numFmtId="165" fontId="0" fillId="0" borderId="0" xfId="0" applyNumberFormat="1"/>
    <xf numFmtId="2" fontId="1" fillId="0" borderId="0" xfId="0" applyNumberFormat="1" applyFont="1"/>
    <xf numFmtId="166" fontId="0" fillId="0" borderId="0" xfId="0" applyNumberFormat="1"/>
    <xf numFmtId="0" fontId="0" fillId="4" borderId="0" xfId="0" applyFill="1"/>
    <xf numFmtId="0" fontId="0" fillId="3" borderId="0" xfId="0" applyFill="1"/>
    <xf numFmtId="2" fontId="0" fillId="0" borderId="0" xfId="0" applyNumberFormat="1"/>
    <xf numFmtId="0" fontId="0" fillId="5" borderId="0" xfId="0" applyFill="1"/>
    <xf numFmtId="164" fontId="1" fillId="0" borderId="0" xfId="0" applyNumberFormat="1" applyFont="1"/>
    <xf numFmtId="1" fontId="0" fillId="0" borderId="0" xfId="0" applyNumberFormat="1" applyFill="1"/>
    <xf numFmtId="0" fontId="0" fillId="6" borderId="0" xfId="0" applyFill="1"/>
    <xf numFmtId="1" fontId="0" fillId="2" borderId="0" xfId="0" applyNumberFormat="1" applyFill="1"/>
    <xf numFmtId="0" fontId="0" fillId="7" borderId="0" xfId="0" applyFill="1"/>
    <xf numFmtId="0" fontId="0" fillId="8" borderId="0" xfId="0" applyFill="1"/>
    <xf numFmtId="1" fontId="0" fillId="8" borderId="0" xfId="0" applyNumberFormat="1" applyFill="1"/>
    <xf numFmtId="0" fontId="0" fillId="0" borderId="4" xfId="0" applyBorder="1" applyAlignment="1">
      <alignment vertical="center" wrapText="1"/>
    </xf>
    <xf numFmtId="0" fontId="4" fillId="0" borderId="4" xfId="0" applyFont="1" applyBorder="1" applyAlignment="1">
      <alignment vertical="center" wrapText="1"/>
    </xf>
    <xf numFmtId="0" fontId="0" fillId="0" borderId="5" xfId="0" applyBorder="1" applyAlignment="1">
      <alignment vertical="center" wrapText="1"/>
    </xf>
    <xf numFmtId="0" fontId="4" fillId="0" borderId="5" xfId="0" applyFont="1" applyBorder="1" applyAlignment="1">
      <alignment vertical="center" wrapText="1"/>
    </xf>
    <xf numFmtId="0" fontId="6" fillId="0" borderId="5"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5" xfId="0" applyFont="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vertical="center" wrapText="1"/>
    </xf>
    <xf numFmtId="0" fontId="7" fillId="0" borderId="7" xfId="0" applyFont="1" applyBorder="1" applyAlignment="1">
      <alignment horizontal="center" vertical="center" wrapText="1"/>
    </xf>
    <xf numFmtId="0" fontId="0" fillId="0" borderId="4" xfId="0" applyBorder="1" applyAlignment="1">
      <alignment vertical="top" wrapText="1"/>
    </xf>
    <xf numFmtId="0" fontId="0" fillId="0" borderId="5" xfId="0" applyBorder="1" applyAlignment="1">
      <alignment vertical="top" wrapText="1"/>
    </xf>
    <xf numFmtId="0" fontId="7" fillId="0" borderId="4" xfId="0" applyFont="1" applyBorder="1" applyAlignment="1">
      <alignment horizontal="center" vertical="center" wrapText="1"/>
    </xf>
    <xf numFmtId="0" fontId="0" fillId="0" borderId="7" xfId="0" applyBorder="1" applyAlignment="1">
      <alignment vertical="top" wrapText="1"/>
    </xf>
    <xf numFmtId="0" fontId="0" fillId="0" borderId="6" xfId="0" applyBorder="1" applyAlignment="1">
      <alignment vertical="top" wrapText="1"/>
    </xf>
    <xf numFmtId="0" fontId="7" fillId="0" borderId="6" xfId="0" applyFont="1" applyBorder="1" applyAlignment="1">
      <alignment horizontal="center" vertical="center" wrapText="1"/>
    </xf>
    <xf numFmtId="0" fontId="8" fillId="0" borderId="4" xfId="0" applyFont="1" applyBorder="1" applyAlignment="1">
      <alignment horizontal="center" vertical="center" wrapText="1"/>
    </xf>
    <xf numFmtId="4" fontId="7" fillId="0" borderId="5" xfId="0" applyNumberFormat="1" applyFont="1" applyBorder="1" applyAlignment="1">
      <alignment vertical="center" wrapText="1"/>
    </xf>
    <xf numFmtId="3" fontId="7" fillId="0" borderId="5" xfId="0" applyNumberFormat="1" applyFont="1" applyBorder="1" applyAlignment="1">
      <alignment vertical="center" wrapText="1"/>
    </xf>
    <xf numFmtId="0" fontId="12" fillId="0" borderId="6" xfId="0" applyFont="1" applyBorder="1" applyAlignment="1">
      <alignment vertical="center" wrapText="1"/>
    </xf>
    <xf numFmtId="0" fontId="12" fillId="0" borderId="7" xfId="0" applyFont="1" applyBorder="1" applyAlignment="1">
      <alignment vertical="center" wrapText="1"/>
    </xf>
    <xf numFmtId="0" fontId="12" fillId="0" borderId="7" xfId="0" applyFont="1" applyBorder="1" applyAlignment="1">
      <alignment horizontal="center" vertical="center" wrapText="1"/>
    </xf>
    <xf numFmtId="0" fontId="7" fillId="0" borderId="5" xfId="0" applyFont="1" applyBorder="1" applyAlignment="1">
      <alignment horizontal="center" vertical="center" wrapText="1"/>
    </xf>
    <xf numFmtId="0" fontId="12" fillId="0" borderId="4" xfId="0" applyFont="1" applyBorder="1" applyAlignment="1">
      <alignment vertical="center" wrapText="1"/>
    </xf>
    <xf numFmtId="0" fontId="12" fillId="0" borderId="5" xfId="0" applyFont="1" applyBorder="1" applyAlignment="1">
      <alignment vertical="center" wrapText="1"/>
    </xf>
    <xf numFmtId="0" fontId="12" fillId="0" borderId="5" xfId="0" applyFont="1" applyBorder="1" applyAlignment="1">
      <alignment horizontal="right" vertical="center" wrapText="1"/>
    </xf>
    <xf numFmtId="0" fontId="12" fillId="0" borderId="5" xfId="0" applyFont="1" applyBorder="1" applyAlignment="1">
      <alignment horizontal="center" vertical="center" wrapText="1"/>
    </xf>
    <xf numFmtId="0" fontId="14" fillId="0" borderId="7" xfId="0" applyFont="1" applyBorder="1" applyAlignment="1">
      <alignment vertical="center" wrapText="1"/>
    </xf>
    <xf numFmtId="0" fontId="0" fillId="0" borderId="7" xfId="0" applyBorder="1" applyAlignment="1">
      <alignment vertical="center" wrapText="1"/>
    </xf>
    <xf numFmtId="0" fontId="0" fillId="0" borderId="6" xfId="0" applyBorder="1" applyAlignment="1">
      <alignment vertical="center" wrapText="1"/>
    </xf>
    <xf numFmtId="0" fontId="13" fillId="0" borderId="5" xfId="0" applyFont="1" applyBorder="1" applyAlignment="1">
      <alignment vertical="center" wrapText="1"/>
    </xf>
    <xf numFmtId="11" fontId="12" fillId="0" borderId="5" xfId="0" applyNumberFormat="1" applyFont="1" applyBorder="1" applyAlignment="1">
      <alignment vertical="center" wrapText="1"/>
    </xf>
    <xf numFmtId="0" fontId="13" fillId="0" borderId="5" xfId="0" applyFont="1" applyBorder="1" applyAlignment="1">
      <alignment horizontal="center" vertical="center" wrapText="1"/>
    </xf>
    <xf numFmtId="0" fontId="7" fillId="0" borderId="11" xfId="0" applyFont="1" applyBorder="1" applyAlignment="1">
      <alignment vertical="center" wrapText="1"/>
    </xf>
    <xf numFmtId="0" fontId="7" fillId="0" borderId="6" xfId="0" applyFont="1" applyBorder="1" applyAlignment="1">
      <alignment vertical="center" wrapText="1"/>
    </xf>
    <xf numFmtId="0" fontId="7" fillId="0" borderId="4" xfId="0" applyFont="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7" fillId="0" borderId="1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14" xfId="0" applyFont="1" applyBorder="1" applyAlignment="1">
      <alignment vertical="center" wrapText="1"/>
    </xf>
    <xf numFmtId="0" fontId="7" fillId="0" borderId="8" xfId="0" applyFont="1" applyBorder="1" applyAlignment="1">
      <alignment vertical="center" wrapText="1"/>
    </xf>
    <xf numFmtId="0" fontId="7" fillId="0" borderId="0" xfId="0" applyFont="1" applyBorder="1" applyAlignment="1">
      <alignment vertical="center" wrapText="1"/>
    </xf>
    <xf numFmtId="0" fontId="7" fillId="0" borderId="7"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5" xfId="0" applyFont="1" applyBorder="1" applyAlignment="1">
      <alignment vertical="center" wrapText="1"/>
    </xf>
    <xf numFmtId="0" fontId="4" fillId="0" borderId="11" xfId="0" applyFont="1" applyBorder="1" applyAlignment="1">
      <alignment vertical="center" wrapText="1"/>
    </xf>
    <xf numFmtId="0" fontId="4" fillId="0" borderId="4" xfId="0" applyFont="1" applyBorder="1" applyAlignment="1">
      <alignment vertical="center" wrapText="1"/>
    </xf>
    <xf numFmtId="0" fontId="6" fillId="0" borderId="11" xfId="0" applyFont="1" applyBorder="1" applyAlignment="1">
      <alignment vertical="center" wrapText="1"/>
    </xf>
    <xf numFmtId="0" fontId="6" fillId="0" borderId="4" xfId="0" applyFont="1" applyBorder="1" applyAlignment="1">
      <alignment vertical="center" wrapText="1"/>
    </xf>
    <xf numFmtId="3" fontId="7" fillId="0" borderId="11" xfId="0" applyNumberFormat="1" applyFont="1" applyBorder="1" applyAlignment="1">
      <alignment vertical="center" wrapText="1"/>
    </xf>
    <xf numFmtId="3" fontId="7" fillId="0" borderId="4" xfId="0" applyNumberFormat="1" applyFont="1" applyBorder="1" applyAlignment="1">
      <alignment vertical="center" wrapText="1"/>
    </xf>
    <xf numFmtId="0" fontId="8" fillId="0" borderId="11" xfId="0" applyFont="1" applyBorder="1" applyAlignment="1">
      <alignment vertical="center" wrapText="1"/>
    </xf>
    <xf numFmtId="0" fontId="8" fillId="0" borderId="4" xfId="0" applyFont="1" applyBorder="1" applyAlignment="1">
      <alignment vertical="center" wrapText="1"/>
    </xf>
    <xf numFmtId="4" fontId="7" fillId="0" borderId="11" xfId="0" applyNumberFormat="1" applyFont="1" applyBorder="1" applyAlignment="1">
      <alignment vertical="center" wrapText="1"/>
    </xf>
    <xf numFmtId="4" fontId="7" fillId="0" borderId="4" xfId="0" applyNumberFormat="1" applyFont="1" applyBorder="1" applyAlignment="1">
      <alignment vertical="center" wrapText="1"/>
    </xf>
    <xf numFmtId="0" fontId="10" fillId="0" borderId="11" xfId="0" applyFont="1" applyBorder="1" applyAlignment="1">
      <alignment vertical="center" wrapText="1"/>
    </xf>
    <xf numFmtId="0" fontId="10" fillId="0" borderId="6" xfId="0" applyFont="1" applyBorder="1" applyAlignment="1">
      <alignment vertical="center" wrapText="1"/>
    </xf>
    <xf numFmtId="0" fontId="10" fillId="0" borderId="4" xfId="0" applyFont="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5" xfId="0" applyFont="1" applyBorder="1" applyAlignment="1">
      <alignment vertical="center" wrapText="1"/>
    </xf>
    <xf numFmtId="0" fontId="11" fillId="0" borderId="11" xfId="0" applyFont="1" applyBorder="1" applyAlignment="1">
      <alignment vertical="center" wrapText="1"/>
    </xf>
    <xf numFmtId="0" fontId="11" fillId="0" borderId="6" xfId="0" applyFont="1" applyBorder="1" applyAlignment="1">
      <alignment vertical="center" wrapText="1"/>
    </xf>
    <xf numFmtId="0" fontId="11" fillId="0" borderId="4" xfId="0" applyFont="1" applyBorder="1" applyAlignment="1">
      <alignment vertical="center" wrapText="1"/>
    </xf>
    <xf numFmtId="0" fontId="8" fillId="0" borderId="6" xfId="0" applyFont="1" applyBorder="1" applyAlignment="1">
      <alignment vertical="center" wrapText="1"/>
    </xf>
    <xf numFmtId="0" fontId="8" fillId="0" borderId="1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12" fillId="0" borderId="11" xfId="0" applyFont="1" applyBorder="1" applyAlignment="1">
      <alignment vertical="center" wrapText="1"/>
    </xf>
    <xf numFmtId="0" fontId="12" fillId="0" borderId="4" xfId="0" applyFont="1" applyBorder="1" applyAlignment="1">
      <alignment vertical="center" wrapText="1"/>
    </xf>
    <xf numFmtId="0" fontId="12" fillId="0" borderId="11" xfId="0" applyFont="1" applyBorder="1" applyAlignment="1">
      <alignment horizontal="right" vertical="center" wrapText="1"/>
    </xf>
    <xf numFmtId="0" fontId="12" fillId="0" borderId="4" xfId="0" applyFont="1" applyBorder="1" applyAlignment="1">
      <alignment horizontal="right" vertical="center" wrapText="1"/>
    </xf>
    <xf numFmtId="11" fontId="12" fillId="0" borderId="11" xfId="0" applyNumberFormat="1" applyFont="1" applyBorder="1" applyAlignment="1">
      <alignment horizontal="right" vertical="center" wrapText="1"/>
    </xf>
    <xf numFmtId="11" fontId="12" fillId="0" borderId="4" xfId="0" applyNumberFormat="1" applyFont="1" applyBorder="1" applyAlignment="1">
      <alignment horizontal="right" vertical="center" wrapText="1"/>
    </xf>
    <xf numFmtId="0" fontId="12" fillId="0" borderId="11" xfId="0" applyFont="1" applyBorder="1" applyAlignment="1">
      <alignment horizontal="center" vertical="center" wrapText="1"/>
    </xf>
    <xf numFmtId="0" fontId="12" fillId="0" borderId="4" xfId="0" applyFont="1" applyBorder="1" applyAlignment="1">
      <alignment horizontal="center" vertical="center" wrapText="1"/>
    </xf>
    <xf numFmtId="11" fontId="12" fillId="0" borderId="11" xfId="0" applyNumberFormat="1" applyFont="1" applyBorder="1" applyAlignment="1">
      <alignment horizontal="center" vertical="center" wrapText="1"/>
    </xf>
    <xf numFmtId="11" fontId="12" fillId="0" borderId="4" xfId="0" applyNumberFormat="1" applyFont="1" applyBorder="1" applyAlignment="1">
      <alignment horizontal="center" vertical="center" wrapText="1"/>
    </xf>
    <xf numFmtId="0" fontId="13" fillId="0" borderId="11" xfId="0" applyFont="1" applyBorder="1" applyAlignment="1">
      <alignment horizontal="right" vertical="center" wrapText="1"/>
    </xf>
    <xf numFmtId="0" fontId="13" fillId="0" borderId="4" xfId="0" applyFont="1" applyBorder="1" applyAlignment="1">
      <alignment horizontal="right" vertical="center" wrapText="1"/>
    </xf>
    <xf numFmtId="0" fontId="12" fillId="0" borderId="6" xfId="0" applyFont="1" applyBorder="1" applyAlignment="1">
      <alignment horizontal="center" vertical="center" wrapText="1"/>
    </xf>
    <xf numFmtId="0" fontId="12" fillId="0" borderId="6" xfId="0" applyFont="1" applyBorder="1" applyAlignment="1">
      <alignment vertical="center" wrapText="1"/>
    </xf>
    <xf numFmtId="0" fontId="12" fillId="0" borderId="6" xfId="0" applyFont="1" applyBorder="1" applyAlignment="1">
      <alignment horizontal="right" vertical="center" wrapText="1"/>
    </xf>
    <xf numFmtId="0" fontId="7" fillId="0" borderId="6" xfId="0" applyFont="1" applyBorder="1" applyAlignment="1">
      <alignment horizontal="center" vertical="center" wrapText="1"/>
    </xf>
    <xf numFmtId="0" fontId="13" fillId="0" borderId="6" xfId="0" applyFont="1" applyBorder="1" applyAlignment="1">
      <alignment horizontal="right" vertical="center" wrapText="1"/>
    </xf>
    <xf numFmtId="0" fontId="13" fillId="0" borderId="11" xfId="0" applyFont="1" applyBorder="1" applyAlignment="1">
      <alignment vertical="center" wrapText="1"/>
    </xf>
    <xf numFmtId="0" fontId="13" fillId="0" borderId="4" xfId="0" applyFont="1" applyBorder="1" applyAlignment="1">
      <alignment vertical="center" wrapText="1"/>
    </xf>
    <xf numFmtId="0" fontId="13" fillId="0" borderId="6" xfId="0" applyFont="1" applyBorder="1" applyAlignment="1">
      <alignment vertical="center" wrapText="1"/>
    </xf>
    <xf numFmtId="0" fontId="14" fillId="0" borderId="11" xfId="0" applyFont="1" applyBorder="1" applyAlignment="1">
      <alignment vertical="center" wrapText="1"/>
    </xf>
    <xf numFmtId="0" fontId="14" fillId="0" borderId="4" xfId="0" applyFont="1" applyBorder="1" applyAlignment="1">
      <alignment vertical="center" wrapText="1"/>
    </xf>
    <xf numFmtId="11" fontId="12" fillId="0" borderId="11" xfId="0" applyNumberFormat="1" applyFont="1" applyBorder="1" applyAlignment="1">
      <alignment vertical="center" wrapText="1"/>
    </xf>
    <xf numFmtId="11" fontId="12" fillId="0" borderId="6" xfId="0" applyNumberFormat="1" applyFont="1" applyBorder="1" applyAlignment="1">
      <alignment vertical="center" wrapText="1"/>
    </xf>
    <xf numFmtId="11" fontId="12" fillId="0" borderId="4" xfId="0" applyNumberFormat="1" applyFont="1" applyBorder="1" applyAlignment="1">
      <alignment vertical="center" wrapText="1"/>
    </xf>
    <xf numFmtId="11" fontId="7" fillId="0" borderId="11" xfId="0" applyNumberFormat="1" applyFont="1" applyBorder="1" applyAlignment="1">
      <alignment vertical="center" wrapText="1"/>
    </xf>
    <xf numFmtId="11" fontId="7" fillId="0" borderId="4" xfId="0" applyNumberFormat="1" applyFont="1" applyBorder="1" applyAlignment="1">
      <alignment vertical="center" wrapText="1"/>
    </xf>
    <xf numFmtId="0" fontId="12" fillId="0" borderId="8" xfId="0" applyFont="1" applyBorder="1" applyAlignment="1">
      <alignment vertical="center" wrapText="1"/>
    </xf>
    <xf numFmtId="0" fontId="12" fillId="0" borderId="0" xfId="0" applyFont="1" applyBorder="1" applyAlignment="1">
      <alignment vertical="center" wrapText="1"/>
    </xf>
    <xf numFmtId="0" fontId="12" fillId="0" borderId="7" xfId="0" applyFont="1" applyBorder="1" applyAlignment="1">
      <alignment vertical="center"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17" fillId="0" borderId="5"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1"/>
  <sheetViews>
    <sheetView workbookViewId="0">
      <selection activeCell="I8" sqref="I8"/>
    </sheetView>
  </sheetViews>
  <sheetFormatPr defaultRowHeight="15" x14ac:dyDescent="0.25"/>
  <cols>
    <col min="2" max="2" width="9.5703125" customWidth="1"/>
    <col min="9" max="9" width="11.85546875" customWidth="1"/>
    <col min="35" max="37" width="9.28515625" style="2" bestFit="1" customWidth="1"/>
    <col min="38" max="38" width="9.5703125" style="2" bestFit="1" customWidth="1"/>
    <col min="39" max="39" width="9.140625" style="13"/>
  </cols>
  <sheetData>
    <row r="1" spans="1:39" x14ac:dyDescent="0.25">
      <c r="A1" t="s">
        <v>745</v>
      </c>
      <c r="AE1" t="s">
        <v>55</v>
      </c>
      <c r="AI1" s="18" t="s">
        <v>51</v>
      </c>
      <c r="AJ1" s="18" t="s">
        <v>52</v>
      </c>
      <c r="AK1" s="4" t="s">
        <v>53</v>
      </c>
      <c r="AL1" s="4" t="s">
        <v>54</v>
      </c>
    </row>
    <row r="2" spans="1:39" x14ac:dyDescent="0.25">
      <c r="H2" t="s">
        <v>459</v>
      </c>
      <c r="AD2" t="s">
        <v>60</v>
      </c>
      <c r="AE2">
        <v>2385338</v>
      </c>
      <c r="AF2">
        <v>5123375</v>
      </c>
      <c r="AG2">
        <v>1630116</v>
      </c>
      <c r="AH2">
        <v>3134507</v>
      </c>
      <c r="AI2" s="2" t="s">
        <v>0</v>
      </c>
    </row>
    <row r="3" spans="1:39" x14ac:dyDescent="0.25">
      <c r="A3" t="s">
        <v>50</v>
      </c>
      <c r="B3" t="s">
        <v>1</v>
      </c>
      <c r="C3" t="s">
        <v>2</v>
      </c>
      <c r="D3" t="s">
        <v>3</v>
      </c>
      <c r="E3" t="s">
        <v>4</v>
      </c>
      <c r="F3" t="s">
        <v>5</v>
      </c>
      <c r="G3" t="s">
        <v>6</v>
      </c>
      <c r="H3" t="s">
        <v>456</v>
      </c>
      <c r="I3" t="s">
        <v>7</v>
      </c>
      <c r="J3" t="s">
        <v>8</v>
      </c>
      <c r="K3" t="s">
        <v>9</v>
      </c>
      <c r="L3" t="s">
        <v>10</v>
      </c>
      <c r="M3" t="s">
        <v>11</v>
      </c>
      <c r="N3" t="s">
        <v>12</v>
      </c>
      <c r="O3" t="s">
        <v>13</v>
      </c>
      <c r="P3" t="s">
        <v>14</v>
      </c>
      <c r="Q3" t="s">
        <v>15</v>
      </c>
      <c r="R3" t="s">
        <v>16</v>
      </c>
      <c r="S3" t="s">
        <v>17</v>
      </c>
      <c r="T3" t="s">
        <v>18</v>
      </c>
      <c r="U3" t="s">
        <v>19</v>
      </c>
      <c r="V3" t="s">
        <v>20</v>
      </c>
      <c r="W3" t="s">
        <v>21</v>
      </c>
      <c r="X3" t="s">
        <v>22</v>
      </c>
      <c r="Y3" t="s">
        <v>23</v>
      </c>
      <c r="Z3" t="s">
        <v>24</v>
      </c>
      <c r="AA3" t="s">
        <v>25</v>
      </c>
      <c r="AB3" t="s">
        <v>26</v>
      </c>
      <c r="AC3" t="s">
        <v>27</v>
      </c>
      <c r="AD3" t="s">
        <v>448</v>
      </c>
      <c r="AE3" t="s">
        <v>29</v>
      </c>
      <c r="AF3" t="s">
        <v>30</v>
      </c>
      <c r="AG3" t="s">
        <v>31</v>
      </c>
      <c r="AH3" t="s">
        <v>32</v>
      </c>
      <c r="AI3" s="2" t="s">
        <v>29</v>
      </c>
      <c r="AJ3" s="2" t="s">
        <v>30</v>
      </c>
      <c r="AK3" s="2" t="s">
        <v>31</v>
      </c>
      <c r="AL3" s="2" t="s">
        <v>32</v>
      </c>
      <c r="AM3" s="13" t="s">
        <v>455</v>
      </c>
    </row>
    <row r="4" spans="1:39" x14ac:dyDescent="0.25">
      <c r="A4">
        <v>24662</v>
      </c>
      <c r="B4" t="s">
        <v>33</v>
      </c>
      <c r="C4">
        <v>18.0104124</v>
      </c>
      <c r="D4">
        <v>1.66919339</v>
      </c>
      <c r="E4">
        <v>0.73045845600000003</v>
      </c>
      <c r="F4">
        <v>2.2851311750000001</v>
      </c>
      <c r="G4">
        <v>2.2305136999999999E-2</v>
      </c>
      <c r="H4">
        <f>G4/(171/172)</f>
        <v>2.243557639766082E-2</v>
      </c>
      <c r="I4" t="s">
        <v>34</v>
      </c>
      <c r="J4" t="s">
        <v>35</v>
      </c>
      <c r="K4">
        <v>101</v>
      </c>
      <c r="L4">
        <v>15142</v>
      </c>
      <c r="M4">
        <v>29.440999999999999</v>
      </c>
      <c r="N4">
        <v>18</v>
      </c>
      <c r="O4">
        <v>0.95899999999999996</v>
      </c>
      <c r="P4" t="s">
        <v>36</v>
      </c>
      <c r="Q4" t="s">
        <v>37</v>
      </c>
      <c r="R4">
        <v>13742</v>
      </c>
      <c r="S4">
        <v>8.9999999999999993E-3</v>
      </c>
      <c r="T4">
        <v>22</v>
      </c>
      <c r="U4" t="s">
        <v>38</v>
      </c>
      <c r="V4" s="5">
        <v>-1</v>
      </c>
      <c r="W4">
        <v>265</v>
      </c>
      <c r="X4">
        <v>3</v>
      </c>
      <c r="Y4">
        <v>32</v>
      </c>
      <c r="Z4">
        <v>153</v>
      </c>
      <c r="AA4">
        <v>14495</v>
      </c>
      <c r="AB4">
        <v>171</v>
      </c>
      <c r="AC4">
        <v>23</v>
      </c>
      <c r="AD4">
        <v>15142</v>
      </c>
      <c r="AE4">
        <v>7</v>
      </c>
      <c r="AF4">
        <v>5</v>
      </c>
      <c r="AG4">
        <v>6</v>
      </c>
      <c r="AH4">
        <v>64</v>
      </c>
      <c r="AI4" s="2">
        <f>AE4/AE$2*20000000</f>
        <v>58.691891882827505</v>
      </c>
      <c r="AJ4" s="2">
        <f t="shared" ref="AJ4:AL6" si="0">AF4/AF$2*20000000</f>
        <v>19.518383877814919</v>
      </c>
      <c r="AK4" s="2">
        <f t="shared" si="0"/>
        <v>73.614393086136204</v>
      </c>
      <c r="AL4" s="2">
        <f t="shared" si="0"/>
        <v>408.35767793787028</v>
      </c>
      <c r="AM4" s="13">
        <f>AVERAGE(AK4:AL4)/AVERAGE(AI4:AJ4)</f>
        <v>6.1625159397091425</v>
      </c>
    </row>
    <row r="5" spans="1:39" x14ac:dyDescent="0.25">
      <c r="A5">
        <v>15245</v>
      </c>
      <c r="B5" t="s">
        <v>39</v>
      </c>
      <c r="C5">
        <v>106.8643893</v>
      </c>
      <c r="D5">
        <v>1.1814511059999999</v>
      </c>
      <c r="E5">
        <v>0.53027610000000003</v>
      </c>
      <c r="F5">
        <v>2.2279923720000001</v>
      </c>
      <c r="G5">
        <v>2.5881023999999999E-2</v>
      </c>
      <c r="H5">
        <f>G5/(170/172)</f>
        <v>2.6185506635294117E-2</v>
      </c>
      <c r="I5" t="s">
        <v>40</v>
      </c>
      <c r="J5" t="s">
        <v>41</v>
      </c>
      <c r="K5">
        <v>112</v>
      </c>
      <c r="L5">
        <v>9502</v>
      </c>
      <c r="M5">
        <v>18.475000000000001</v>
      </c>
      <c r="N5">
        <v>8072</v>
      </c>
      <c r="O5">
        <v>0.99399999999999999</v>
      </c>
      <c r="P5" t="s">
        <v>36</v>
      </c>
      <c r="Q5" t="s">
        <v>42</v>
      </c>
      <c r="R5">
        <v>6971</v>
      </c>
      <c r="S5">
        <v>1.9E-2</v>
      </c>
      <c r="T5">
        <v>21</v>
      </c>
      <c r="U5" t="s">
        <v>43</v>
      </c>
      <c r="V5">
        <v>-1</v>
      </c>
      <c r="W5">
        <v>39</v>
      </c>
      <c r="X5">
        <v>18</v>
      </c>
      <c r="Y5">
        <v>150</v>
      </c>
      <c r="Z5">
        <v>8925</v>
      </c>
      <c r="AA5">
        <v>341</v>
      </c>
      <c r="AB5">
        <v>19</v>
      </c>
      <c r="AC5">
        <v>10</v>
      </c>
      <c r="AD5">
        <v>9502</v>
      </c>
      <c r="AE5">
        <v>70</v>
      </c>
      <c r="AF5">
        <v>62</v>
      </c>
      <c r="AG5">
        <v>94</v>
      </c>
      <c r="AH5">
        <v>211</v>
      </c>
      <c r="AI5" s="2">
        <f t="shared" ref="AI5:AI6" si="1">AE5/AE$2*20000000</f>
        <v>586.91891882827508</v>
      </c>
      <c r="AJ5" s="2">
        <f t="shared" si="0"/>
        <v>242.02796008490495</v>
      </c>
      <c r="AK5" s="2">
        <f t="shared" si="0"/>
        <v>1153.2921583494672</v>
      </c>
      <c r="AL5" s="2">
        <f t="shared" si="0"/>
        <v>1346.3042194514162</v>
      </c>
      <c r="AM5" s="13">
        <f t="shared" ref="AM5:AM7" si="2">AVERAGE(AK5:AL5)/AVERAGE(AI5:AJ5)</f>
        <v>3.0153878871925635</v>
      </c>
    </row>
    <row r="6" spans="1:39" x14ac:dyDescent="0.25">
      <c r="A6">
        <v>16028</v>
      </c>
      <c r="B6" t="s">
        <v>44</v>
      </c>
      <c r="C6">
        <v>11828.40494</v>
      </c>
      <c r="D6">
        <v>0.94391282399999998</v>
      </c>
      <c r="E6">
        <v>0.47236024399999998</v>
      </c>
      <c r="F6">
        <v>1.998290154</v>
      </c>
      <c r="G6">
        <v>4.5685212000000003E-2</v>
      </c>
      <c r="H6">
        <f>G6/(186/189)</f>
        <v>4.6422070258064524E-2</v>
      </c>
      <c r="I6" t="s">
        <v>45</v>
      </c>
      <c r="J6" t="s">
        <v>46</v>
      </c>
      <c r="K6">
        <v>1554</v>
      </c>
      <c r="L6">
        <v>1470615</v>
      </c>
      <c r="M6">
        <v>2859.3969999999999</v>
      </c>
      <c r="N6">
        <v>1287301</v>
      </c>
      <c r="O6">
        <v>0.39100000000000001</v>
      </c>
      <c r="P6" t="s">
        <v>47</v>
      </c>
      <c r="Q6" t="s">
        <v>48</v>
      </c>
      <c r="R6">
        <v>143659</v>
      </c>
      <c r="S6">
        <v>1.0999999999999999E-2</v>
      </c>
      <c r="T6">
        <v>21</v>
      </c>
      <c r="U6" t="s">
        <v>49</v>
      </c>
      <c r="V6">
        <v>1736.6</v>
      </c>
      <c r="W6">
        <v>18099</v>
      </c>
      <c r="X6">
        <v>7712</v>
      </c>
      <c r="Y6">
        <v>62902</v>
      </c>
      <c r="Z6">
        <v>1063241</v>
      </c>
      <c r="AA6">
        <v>230705</v>
      </c>
      <c r="AB6">
        <v>31348</v>
      </c>
      <c r="AC6">
        <v>56608</v>
      </c>
      <c r="AD6">
        <v>1470615</v>
      </c>
      <c r="AE6">
        <v>6824</v>
      </c>
      <c r="AF6">
        <v>11244</v>
      </c>
      <c r="AG6">
        <v>7925</v>
      </c>
      <c r="AH6">
        <v>25144</v>
      </c>
      <c r="AI6" s="2">
        <f t="shared" si="1"/>
        <v>57216.21002977356</v>
      </c>
      <c r="AJ6" s="2">
        <f t="shared" si="0"/>
        <v>43892.941664430182</v>
      </c>
      <c r="AK6" s="2">
        <f t="shared" si="0"/>
        <v>97232.344201271553</v>
      </c>
      <c r="AL6" s="2">
        <f t="shared" si="0"/>
        <v>160433.52271984078</v>
      </c>
      <c r="AM6" s="13">
        <f t="shared" si="2"/>
        <v>2.5483931237045825</v>
      </c>
    </row>
    <row r="7" spans="1:39" x14ac:dyDescent="0.25">
      <c r="A7">
        <v>24600</v>
      </c>
      <c r="B7" t="s">
        <v>56</v>
      </c>
      <c r="C7">
        <v>12514.928970000001</v>
      </c>
      <c r="D7">
        <v>0.63047493700000001</v>
      </c>
      <c r="E7">
        <v>0.46894871100000002</v>
      </c>
      <c r="F7">
        <v>1.344443268</v>
      </c>
      <c r="G7">
        <v>0.17880509</v>
      </c>
      <c r="H7">
        <f>G7/(149/172)</f>
        <v>0.20640587570469798</v>
      </c>
      <c r="I7" t="s">
        <v>57</v>
      </c>
      <c r="J7" t="s">
        <v>58</v>
      </c>
      <c r="K7">
        <v>1166</v>
      </c>
      <c r="L7">
        <v>554104</v>
      </c>
      <c r="M7">
        <v>1077.375</v>
      </c>
      <c r="N7">
        <v>553644</v>
      </c>
      <c r="O7">
        <v>0.94699999999999995</v>
      </c>
      <c r="P7" t="s">
        <v>36</v>
      </c>
      <c r="Q7" t="s">
        <v>59</v>
      </c>
      <c r="R7">
        <v>269435</v>
      </c>
      <c r="S7">
        <v>2E-3</v>
      </c>
      <c r="T7">
        <v>22</v>
      </c>
      <c r="U7" t="s">
        <v>49</v>
      </c>
      <c r="V7">
        <v>-1</v>
      </c>
      <c r="W7">
        <v>3587</v>
      </c>
      <c r="X7">
        <v>784</v>
      </c>
      <c r="Y7">
        <v>15540</v>
      </c>
      <c r="Z7">
        <v>242526</v>
      </c>
      <c r="AA7">
        <v>287002</v>
      </c>
      <c r="AB7">
        <v>1079</v>
      </c>
      <c r="AC7">
        <v>3586</v>
      </c>
      <c r="AD7">
        <v>554104</v>
      </c>
      <c r="AE7">
        <v>7980</v>
      </c>
      <c r="AF7">
        <v>14638</v>
      </c>
      <c r="AG7">
        <v>8020</v>
      </c>
      <c r="AH7">
        <v>23851</v>
      </c>
      <c r="AI7" s="2">
        <f>AE7/AE$2*20000000</f>
        <v>66908.756746423358</v>
      </c>
      <c r="AJ7" s="2">
        <f>AF7/AF$2*20000000</f>
        <v>57142.020640690956</v>
      </c>
      <c r="AK7" s="2">
        <f>AG7/AG$2*20000000</f>
        <v>98397.905425135381</v>
      </c>
      <c r="AL7" s="2">
        <f>AH7/AH$2*20000000</f>
        <v>152183.42150775224</v>
      </c>
      <c r="AM7" s="13">
        <f t="shared" si="2"/>
        <v>2.0199899767731448</v>
      </c>
    </row>
    <row r="8" spans="1:39" x14ac:dyDescent="0.25">
      <c r="I8" s="5"/>
    </row>
    <row r="9" spans="1:39" ht="15.75" thickBot="1" x14ac:dyDescent="0.3"/>
    <row r="10" spans="1:39" ht="31.5" customHeight="1" thickBot="1" x14ac:dyDescent="0.3">
      <c r="A10" s="59" t="s">
        <v>594</v>
      </c>
      <c r="B10" s="60"/>
      <c r="C10" s="60"/>
      <c r="D10" s="60"/>
      <c r="E10" s="60"/>
      <c r="F10" s="60"/>
      <c r="G10" s="60"/>
      <c r="H10" s="60"/>
      <c r="I10" s="61"/>
    </row>
    <row r="11" spans="1:39" ht="64.5" thickBot="1" x14ac:dyDescent="0.3">
      <c r="A11" s="23" t="s">
        <v>503</v>
      </c>
      <c r="B11" s="25" t="s">
        <v>504</v>
      </c>
      <c r="C11" s="26" t="s">
        <v>505</v>
      </c>
      <c r="D11" s="25" t="s">
        <v>506</v>
      </c>
      <c r="E11" s="25" t="s">
        <v>507</v>
      </c>
      <c r="F11" s="25" t="s">
        <v>508</v>
      </c>
      <c r="G11" s="25" t="s">
        <v>509</v>
      </c>
      <c r="H11" s="25" t="s">
        <v>510</v>
      </c>
      <c r="I11" s="25" t="s">
        <v>511</v>
      </c>
    </row>
    <row r="12" spans="1:39" ht="38.25" x14ac:dyDescent="0.25">
      <c r="A12" s="56" t="s">
        <v>512</v>
      </c>
      <c r="B12" s="56">
        <v>1.67</v>
      </c>
      <c r="C12" s="56">
        <v>2.1999999999999999E-2</v>
      </c>
      <c r="D12" s="56" t="s">
        <v>513</v>
      </c>
      <c r="E12" s="30" t="s">
        <v>514</v>
      </c>
      <c r="F12" s="56" t="s">
        <v>516</v>
      </c>
      <c r="G12" s="56"/>
      <c r="H12" s="62">
        <v>121.3</v>
      </c>
      <c r="I12" s="28" t="s">
        <v>517</v>
      </c>
    </row>
    <row r="13" spans="1:39" ht="51.75" thickBot="1" x14ac:dyDescent="0.3">
      <c r="A13" s="58"/>
      <c r="B13" s="58"/>
      <c r="C13" s="58"/>
      <c r="D13" s="58"/>
      <c r="E13" s="31" t="s">
        <v>515</v>
      </c>
      <c r="F13" s="58"/>
      <c r="G13" s="58"/>
      <c r="H13" s="63"/>
      <c r="I13" s="29" t="s">
        <v>518</v>
      </c>
    </row>
    <row r="14" spans="1:39" ht="25.5" x14ac:dyDescent="0.25">
      <c r="A14" s="27" t="s">
        <v>40</v>
      </c>
      <c r="B14" s="56">
        <v>1.18</v>
      </c>
      <c r="C14" s="56">
        <v>2.5999999999999999E-2</v>
      </c>
      <c r="D14" s="56" t="s">
        <v>520</v>
      </c>
      <c r="E14" s="56" t="s">
        <v>521</v>
      </c>
      <c r="F14" s="56" t="s">
        <v>516</v>
      </c>
      <c r="G14" s="56"/>
      <c r="H14" s="56"/>
      <c r="I14" s="28" t="s">
        <v>522</v>
      </c>
    </row>
    <row r="15" spans="1:39" ht="51" x14ac:dyDescent="0.25">
      <c r="A15" s="27" t="s">
        <v>519</v>
      </c>
      <c r="B15" s="57"/>
      <c r="C15" s="57"/>
      <c r="D15" s="57"/>
      <c r="E15" s="57"/>
      <c r="F15" s="57"/>
      <c r="G15" s="57"/>
      <c r="H15" s="57"/>
      <c r="I15" s="28"/>
    </row>
    <row r="16" spans="1:39" ht="15.75" thickBot="1" x14ac:dyDescent="0.3">
      <c r="A16" s="33"/>
      <c r="B16" s="58"/>
      <c r="C16" s="58"/>
      <c r="D16" s="58"/>
      <c r="E16" s="58"/>
      <c r="F16" s="58"/>
      <c r="G16" s="58"/>
      <c r="H16" s="58"/>
      <c r="I16" s="29" t="s">
        <v>523</v>
      </c>
    </row>
    <row r="17" spans="1:9" ht="66" customHeight="1" x14ac:dyDescent="0.25">
      <c r="A17" s="56" t="s">
        <v>57</v>
      </c>
      <c r="B17" s="56">
        <v>0.63</v>
      </c>
      <c r="C17" s="56">
        <v>0.21</v>
      </c>
      <c r="D17" s="56" t="s">
        <v>524</v>
      </c>
      <c r="E17" s="56" t="s">
        <v>525</v>
      </c>
      <c r="F17" s="56" t="s">
        <v>516</v>
      </c>
      <c r="G17" s="30" t="s">
        <v>526</v>
      </c>
      <c r="H17" s="56">
        <v>1737</v>
      </c>
      <c r="I17" s="56" t="s">
        <v>528</v>
      </c>
    </row>
    <row r="18" spans="1:9" ht="26.25" thickBot="1" x14ac:dyDescent="0.3">
      <c r="A18" s="58"/>
      <c r="B18" s="58"/>
      <c r="C18" s="58"/>
      <c r="D18" s="58"/>
      <c r="E18" s="58"/>
      <c r="F18" s="58"/>
      <c r="G18" s="29" t="s">
        <v>527</v>
      </c>
      <c r="H18" s="58"/>
      <c r="I18" s="58"/>
    </row>
    <row r="19" spans="1:9" ht="25.5" customHeight="1" x14ac:dyDescent="0.25">
      <c r="A19" s="64" t="s">
        <v>529</v>
      </c>
      <c r="B19" s="65"/>
      <c r="C19" s="65"/>
      <c r="D19" s="65"/>
      <c r="E19" s="65"/>
      <c r="F19" s="65"/>
      <c r="G19" s="65"/>
      <c r="H19" s="65"/>
      <c r="I19" s="66"/>
    </row>
    <row r="20" spans="1:9" ht="41.25" customHeight="1" x14ac:dyDescent="0.25">
      <c r="A20" s="67" t="s">
        <v>530</v>
      </c>
      <c r="B20" s="68"/>
      <c r="C20" s="68"/>
      <c r="D20" s="68"/>
      <c r="E20" s="68"/>
      <c r="F20" s="68"/>
      <c r="G20" s="68"/>
      <c r="H20" s="68"/>
      <c r="I20" s="69"/>
    </row>
    <row r="21" spans="1:9" ht="51" customHeight="1" thickBot="1" x14ac:dyDescent="0.3">
      <c r="A21" s="70" t="s">
        <v>531</v>
      </c>
      <c r="B21" s="71"/>
      <c r="C21" s="71"/>
      <c r="D21" s="71"/>
      <c r="E21" s="71"/>
      <c r="F21" s="71"/>
      <c r="G21" s="71"/>
      <c r="H21" s="71"/>
      <c r="I21" s="72"/>
    </row>
  </sheetData>
  <mergeCells count="26">
    <mergeCell ref="I17:I18"/>
    <mergeCell ref="A19:I19"/>
    <mergeCell ref="A20:I20"/>
    <mergeCell ref="A21:I21"/>
    <mergeCell ref="H14:H16"/>
    <mergeCell ref="A17:A18"/>
    <mergeCell ref="B17:B18"/>
    <mergeCell ref="C17:C18"/>
    <mergeCell ref="D17:D18"/>
    <mergeCell ref="E17:E18"/>
    <mergeCell ref="F17:F18"/>
    <mergeCell ref="H17:H18"/>
    <mergeCell ref="B14:B16"/>
    <mergeCell ref="C14:C16"/>
    <mergeCell ref="D14:D16"/>
    <mergeCell ref="E14:E16"/>
    <mergeCell ref="F14:F16"/>
    <mergeCell ref="G14:G16"/>
    <mergeCell ref="A10:I10"/>
    <mergeCell ref="A12:A13"/>
    <mergeCell ref="B12:B13"/>
    <mergeCell ref="C12:C13"/>
    <mergeCell ref="D12:D13"/>
    <mergeCell ref="F12:F13"/>
    <mergeCell ref="G12:G13"/>
    <mergeCell ref="H12:H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68"/>
  <sheetViews>
    <sheetView workbookViewId="0">
      <selection activeCell="I10" sqref="I10"/>
    </sheetView>
  </sheetViews>
  <sheetFormatPr defaultRowHeight="15" x14ac:dyDescent="0.25"/>
  <cols>
    <col min="2" max="2" width="15.140625" customWidth="1"/>
    <col min="9" max="9" width="11.28515625" customWidth="1"/>
    <col min="17" max="17" width="27.28515625" customWidth="1"/>
    <col min="55" max="55" width="6.85546875" customWidth="1"/>
    <col min="56" max="59" width="7.140625" customWidth="1"/>
    <col min="60" max="60" width="7" customWidth="1"/>
    <col min="61" max="61" width="7.7109375" customWidth="1"/>
    <col min="62" max="62" width="7" customWidth="1"/>
    <col min="63" max="63" width="6.5703125" customWidth="1"/>
    <col min="64" max="64" width="6.85546875" customWidth="1"/>
    <col min="65" max="65" width="7" customWidth="1"/>
    <col min="66" max="66" width="6.5703125" customWidth="1"/>
    <col min="67" max="67" width="7.140625" customWidth="1"/>
    <col min="68" max="68" width="7.42578125" customWidth="1"/>
    <col min="69" max="69" width="7.7109375" customWidth="1"/>
    <col min="70" max="70" width="7.28515625" customWidth="1"/>
    <col min="71" max="72" width="6.5703125" customWidth="1"/>
    <col min="73" max="73" width="6.7109375" customWidth="1"/>
    <col min="74" max="74" width="6.5703125" customWidth="1"/>
    <col min="75" max="77" width="7.42578125" customWidth="1"/>
    <col min="78" max="78" width="7.140625" customWidth="1"/>
    <col min="79" max="79" width="9.140625" style="13"/>
  </cols>
  <sheetData>
    <row r="1" spans="1:79" x14ac:dyDescent="0.25">
      <c r="A1" t="s">
        <v>744</v>
      </c>
      <c r="AE1" t="s">
        <v>149</v>
      </c>
      <c r="BC1" t="s">
        <v>150</v>
      </c>
    </row>
    <row r="2" spans="1:79" x14ac:dyDescent="0.25">
      <c r="AD2" t="s">
        <v>148</v>
      </c>
      <c r="AE2" t="s">
        <v>144</v>
      </c>
      <c r="AF2" t="s">
        <v>145</v>
      </c>
      <c r="AG2" t="s">
        <v>146</v>
      </c>
      <c r="AH2" t="s">
        <v>147</v>
      </c>
      <c r="AI2" t="s">
        <v>144</v>
      </c>
      <c r="AJ2" t="s">
        <v>145</v>
      </c>
      <c r="AK2" t="s">
        <v>146</v>
      </c>
      <c r="AL2" t="s">
        <v>147</v>
      </c>
      <c r="AM2" t="s">
        <v>144</v>
      </c>
      <c r="AN2" t="s">
        <v>145</v>
      </c>
      <c r="AO2" t="s">
        <v>146</v>
      </c>
      <c r="AP2" t="s">
        <v>147</v>
      </c>
      <c r="AQ2" t="s">
        <v>144</v>
      </c>
      <c r="AR2" t="s">
        <v>145</v>
      </c>
      <c r="AS2" t="s">
        <v>146</v>
      </c>
      <c r="AT2" t="s">
        <v>147</v>
      </c>
      <c r="AU2" t="s">
        <v>144</v>
      </c>
      <c r="AV2" t="s">
        <v>145</v>
      </c>
      <c r="AW2" t="s">
        <v>146</v>
      </c>
      <c r="AX2" t="s">
        <v>147</v>
      </c>
      <c r="AY2" t="s">
        <v>144</v>
      </c>
      <c r="AZ2" t="s">
        <v>145</v>
      </c>
      <c r="BA2" t="s">
        <v>146</v>
      </c>
      <c r="BB2" t="s">
        <v>147</v>
      </c>
      <c r="BC2" t="s">
        <v>144</v>
      </c>
      <c r="BD2" t="s">
        <v>145</v>
      </c>
      <c r="BE2" t="s">
        <v>146</v>
      </c>
      <c r="BF2" t="s">
        <v>147</v>
      </c>
      <c r="BG2" t="s">
        <v>144</v>
      </c>
      <c r="BH2" t="s">
        <v>145</v>
      </c>
      <c r="BI2" t="s">
        <v>146</v>
      </c>
      <c r="BJ2" t="s">
        <v>147</v>
      </c>
      <c r="BK2" t="s">
        <v>144</v>
      </c>
      <c r="BL2" t="s">
        <v>145</v>
      </c>
      <c r="BM2" t="s">
        <v>146</v>
      </c>
      <c r="BN2" t="s">
        <v>147</v>
      </c>
      <c r="BO2" t="s">
        <v>144</v>
      </c>
      <c r="BP2" t="s">
        <v>145</v>
      </c>
      <c r="BQ2" t="s">
        <v>146</v>
      </c>
      <c r="BR2" t="s">
        <v>147</v>
      </c>
      <c r="BS2" t="s">
        <v>144</v>
      </c>
      <c r="BT2" t="s">
        <v>145</v>
      </c>
      <c r="BU2" t="s">
        <v>146</v>
      </c>
      <c r="BV2" t="s">
        <v>147</v>
      </c>
      <c r="BW2" t="s">
        <v>144</v>
      </c>
      <c r="BX2" t="s">
        <v>145</v>
      </c>
      <c r="BY2" t="s">
        <v>146</v>
      </c>
      <c r="BZ2" t="s">
        <v>147</v>
      </c>
      <c r="CA2" s="13" t="s">
        <v>148</v>
      </c>
    </row>
    <row r="3" spans="1:79" x14ac:dyDescent="0.25">
      <c r="AD3" t="s">
        <v>140</v>
      </c>
      <c r="AE3" t="s">
        <v>141</v>
      </c>
      <c r="AF3" t="s">
        <v>141</v>
      </c>
      <c r="AG3" t="s">
        <v>141</v>
      </c>
      <c r="AH3" t="s">
        <v>141</v>
      </c>
      <c r="AI3" t="s">
        <v>141</v>
      </c>
      <c r="AJ3" t="s">
        <v>141</v>
      </c>
      <c r="AK3" t="s">
        <v>141</v>
      </c>
      <c r="AL3" t="s">
        <v>141</v>
      </c>
      <c r="AM3" t="s">
        <v>142</v>
      </c>
      <c r="AN3" t="s">
        <v>142</v>
      </c>
      <c r="AO3" t="s">
        <v>142</v>
      </c>
      <c r="AP3" t="s">
        <v>142</v>
      </c>
      <c r="AQ3" t="s">
        <v>142</v>
      </c>
      <c r="AR3" t="s">
        <v>142</v>
      </c>
      <c r="AS3" t="s">
        <v>142</v>
      </c>
      <c r="AT3" t="s">
        <v>142</v>
      </c>
      <c r="AU3" t="s">
        <v>143</v>
      </c>
      <c r="AV3" t="s">
        <v>143</v>
      </c>
      <c r="AW3" t="s">
        <v>143</v>
      </c>
      <c r="AX3" t="s">
        <v>143</v>
      </c>
      <c r="AY3" t="s">
        <v>143</v>
      </c>
      <c r="AZ3" t="s">
        <v>143</v>
      </c>
      <c r="BA3" t="s">
        <v>143</v>
      </c>
      <c r="BB3" t="s">
        <v>143</v>
      </c>
      <c r="BC3" t="s">
        <v>141</v>
      </c>
      <c r="BD3" t="s">
        <v>141</v>
      </c>
      <c r="BE3" t="s">
        <v>141</v>
      </c>
      <c r="BF3" t="s">
        <v>141</v>
      </c>
      <c r="BG3" t="s">
        <v>141</v>
      </c>
      <c r="BH3" t="s">
        <v>141</v>
      </c>
      <c r="BI3" t="s">
        <v>141</v>
      </c>
      <c r="BJ3" t="s">
        <v>141</v>
      </c>
      <c r="BK3" t="s">
        <v>142</v>
      </c>
      <c r="BL3" t="s">
        <v>142</v>
      </c>
      <c r="BM3" t="s">
        <v>142</v>
      </c>
      <c r="BN3" t="s">
        <v>142</v>
      </c>
      <c r="BO3" t="s">
        <v>142</v>
      </c>
      <c r="BP3" t="s">
        <v>142</v>
      </c>
      <c r="BQ3" t="s">
        <v>142</v>
      </c>
      <c r="BR3" t="s">
        <v>142</v>
      </c>
      <c r="BS3" t="s">
        <v>143</v>
      </c>
      <c r="BT3" t="s">
        <v>143</v>
      </c>
      <c r="BU3" t="s">
        <v>143</v>
      </c>
      <c r="BV3" t="s">
        <v>143</v>
      </c>
      <c r="BW3" t="s">
        <v>143</v>
      </c>
      <c r="BX3" t="s">
        <v>143</v>
      </c>
      <c r="BY3" t="s">
        <v>143</v>
      </c>
      <c r="BZ3" t="s">
        <v>143</v>
      </c>
      <c r="CA3" s="13" t="s">
        <v>140</v>
      </c>
    </row>
    <row r="4" spans="1:79" x14ac:dyDescent="0.25">
      <c r="H4" t="s">
        <v>458</v>
      </c>
      <c r="AD4" t="s">
        <v>139</v>
      </c>
      <c r="AE4" t="s">
        <v>137</v>
      </c>
      <c r="AF4" t="s">
        <v>137</v>
      </c>
      <c r="AG4" t="s">
        <v>137</v>
      </c>
      <c r="AH4" t="s">
        <v>137</v>
      </c>
      <c r="AI4" s="2" t="s">
        <v>138</v>
      </c>
      <c r="AJ4" s="2" t="s">
        <v>138</v>
      </c>
      <c r="AK4" s="2" t="s">
        <v>138</v>
      </c>
      <c r="AL4" s="2" t="s">
        <v>138</v>
      </c>
      <c r="AM4" t="s">
        <v>137</v>
      </c>
      <c r="AN4" t="s">
        <v>137</v>
      </c>
      <c r="AO4" t="s">
        <v>137</v>
      </c>
      <c r="AP4" t="s">
        <v>137</v>
      </c>
      <c r="AQ4" s="2" t="s">
        <v>138</v>
      </c>
      <c r="AR4" s="2" t="s">
        <v>138</v>
      </c>
      <c r="AS4" s="2" t="s">
        <v>138</v>
      </c>
      <c r="AT4" s="2" t="s">
        <v>138</v>
      </c>
      <c r="AU4" t="s">
        <v>137</v>
      </c>
      <c r="AV4" t="s">
        <v>137</v>
      </c>
      <c r="AW4" t="s">
        <v>137</v>
      </c>
      <c r="AX4" t="s">
        <v>137</v>
      </c>
      <c r="AY4" s="2" t="s">
        <v>138</v>
      </c>
      <c r="AZ4" s="2" t="s">
        <v>138</v>
      </c>
      <c r="BA4" s="2" t="s">
        <v>138</v>
      </c>
      <c r="BB4" s="2" t="s">
        <v>138</v>
      </c>
      <c r="BC4" s="1" t="s">
        <v>137</v>
      </c>
      <c r="BD4" s="1" t="s">
        <v>137</v>
      </c>
      <c r="BE4" s="1" t="s">
        <v>137</v>
      </c>
      <c r="BF4" s="1" t="s">
        <v>137</v>
      </c>
      <c r="BG4" s="4" t="s">
        <v>138</v>
      </c>
      <c r="BH4" s="4" t="s">
        <v>138</v>
      </c>
      <c r="BI4" s="4" t="s">
        <v>138</v>
      </c>
      <c r="BJ4" s="4" t="s">
        <v>138</v>
      </c>
      <c r="BK4" s="1" t="s">
        <v>137</v>
      </c>
      <c r="BL4" s="1" t="s">
        <v>137</v>
      </c>
      <c r="BM4" s="1" t="s">
        <v>137</v>
      </c>
      <c r="BN4" s="1" t="s">
        <v>137</v>
      </c>
      <c r="BO4" s="4" t="s">
        <v>138</v>
      </c>
      <c r="BP4" s="4" t="s">
        <v>138</v>
      </c>
      <c r="BQ4" s="4" t="s">
        <v>138</v>
      </c>
      <c r="BR4" s="4" t="s">
        <v>138</v>
      </c>
      <c r="BS4" s="1" t="s">
        <v>137</v>
      </c>
      <c r="BT4" s="1" t="s">
        <v>137</v>
      </c>
      <c r="BU4" s="1" t="s">
        <v>137</v>
      </c>
      <c r="BV4" s="1" t="s">
        <v>137</v>
      </c>
      <c r="BW4" s="4" t="s">
        <v>138</v>
      </c>
      <c r="BX4" s="4" t="s">
        <v>138</v>
      </c>
      <c r="BY4" s="4" t="s">
        <v>138</v>
      </c>
      <c r="BZ4" s="4" t="s">
        <v>138</v>
      </c>
      <c r="CA4" s="13" t="s">
        <v>139</v>
      </c>
    </row>
    <row r="5" spans="1:79" x14ac:dyDescent="0.25">
      <c r="AD5" t="s">
        <v>136</v>
      </c>
      <c r="AE5">
        <v>1774867</v>
      </c>
      <c r="AF5">
        <v>6951342</v>
      </c>
      <c r="AG5">
        <v>6310050</v>
      </c>
      <c r="AH5">
        <v>2621588</v>
      </c>
      <c r="AI5">
        <v>1332615</v>
      </c>
      <c r="AJ5">
        <v>2719800</v>
      </c>
      <c r="AK5">
        <v>5540540</v>
      </c>
      <c r="AL5">
        <v>5319529</v>
      </c>
      <c r="AM5">
        <v>5150409</v>
      </c>
      <c r="AN5">
        <v>5825441</v>
      </c>
      <c r="AO5">
        <v>5576963</v>
      </c>
      <c r="AP5">
        <v>6494095</v>
      </c>
      <c r="AQ5">
        <v>4096788</v>
      </c>
      <c r="AR5">
        <v>10736084</v>
      </c>
      <c r="AS5">
        <v>3991024</v>
      </c>
      <c r="AT5">
        <v>4308456</v>
      </c>
      <c r="AU5">
        <v>3372149</v>
      </c>
      <c r="AV5">
        <v>3983814</v>
      </c>
      <c r="AW5">
        <v>3870446</v>
      </c>
      <c r="AX5">
        <v>8396218</v>
      </c>
      <c r="AY5">
        <v>4376257</v>
      </c>
      <c r="AZ5">
        <v>6770446</v>
      </c>
      <c r="BA5">
        <v>2645062</v>
      </c>
      <c r="BB5">
        <v>664690</v>
      </c>
    </row>
    <row r="6" spans="1:79" x14ac:dyDescent="0.25">
      <c r="A6" t="s">
        <v>50</v>
      </c>
      <c r="B6" t="s">
        <v>1</v>
      </c>
      <c r="C6" t="s">
        <v>2</v>
      </c>
      <c r="D6" t="s">
        <v>3</v>
      </c>
      <c r="E6" t="s">
        <v>4</v>
      </c>
      <c r="F6" t="s">
        <v>5</v>
      </c>
      <c r="G6" t="s">
        <v>6</v>
      </c>
      <c r="H6" t="s">
        <v>454</v>
      </c>
      <c r="I6" t="s">
        <v>7</v>
      </c>
      <c r="J6" t="s">
        <v>8</v>
      </c>
      <c r="K6" t="s">
        <v>9</v>
      </c>
      <c r="L6" t="s">
        <v>10</v>
      </c>
      <c r="M6" t="s">
        <v>11</v>
      </c>
      <c r="N6" t="s">
        <v>12</v>
      </c>
      <c r="O6" t="s">
        <v>13</v>
      </c>
      <c r="P6" t="s">
        <v>14</v>
      </c>
      <c r="Q6" t="s">
        <v>15</v>
      </c>
      <c r="R6" t="s">
        <v>16</v>
      </c>
      <c r="S6" t="s">
        <v>17</v>
      </c>
      <c r="T6" t="s">
        <v>18</v>
      </c>
      <c r="U6" t="s">
        <v>19</v>
      </c>
      <c r="V6" t="s">
        <v>20</v>
      </c>
      <c r="W6" t="s">
        <v>21</v>
      </c>
      <c r="X6" t="s">
        <v>22</v>
      </c>
      <c r="Y6" t="s">
        <v>23</v>
      </c>
      <c r="Z6" t="s">
        <v>24</v>
      </c>
      <c r="AA6" t="s">
        <v>25</v>
      </c>
      <c r="AB6" t="s">
        <v>26</v>
      </c>
      <c r="AC6" t="s">
        <v>27</v>
      </c>
      <c r="AD6" t="s">
        <v>448</v>
      </c>
      <c r="AE6" t="s">
        <v>61</v>
      </c>
      <c r="AF6" t="s">
        <v>62</v>
      </c>
      <c r="AG6" t="s">
        <v>63</v>
      </c>
      <c r="AH6" t="s">
        <v>64</v>
      </c>
      <c r="AI6" t="s">
        <v>65</v>
      </c>
      <c r="AJ6" t="s">
        <v>66</v>
      </c>
      <c r="AK6" t="s">
        <v>67</v>
      </c>
      <c r="AL6" t="s">
        <v>68</v>
      </c>
      <c r="AM6" t="s">
        <v>69</v>
      </c>
      <c r="AN6" t="s">
        <v>70</v>
      </c>
      <c r="AO6" t="s">
        <v>71</v>
      </c>
      <c r="AP6" t="s">
        <v>72</v>
      </c>
      <c r="AQ6" t="s">
        <v>73</v>
      </c>
      <c r="AR6" t="s">
        <v>74</v>
      </c>
      <c r="AS6" t="s">
        <v>75</v>
      </c>
      <c r="AT6" t="s">
        <v>76</v>
      </c>
      <c r="AU6" t="s">
        <v>77</v>
      </c>
      <c r="AV6" t="s">
        <v>78</v>
      </c>
      <c r="AW6" t="s">
        <v>79</v>
      </c>
      <c r="AX6" t="s">
        <v>80</v>
      </c>
      <c r="AY6" t="s">
        <v>81</v>
      </c>
      <c r="AZ6" t="s">
        <v>82</v>
      </c>
      <c r="BA6" t="s">
        <v>83</v>
      </c>
      <c r="BB6" t="s">
        <v>84</v>
      </c>
      <c r="BC6" t="s">
        <v>61</v>
      </c>
      <c r="BD6" t="s">
        <v>62</v>
      </c>
      <c r="BE6" t="s">
        <v>63</v>
      </c>
      <c r="BF6" t="s">
        <v>64</v>
      </c>
      <c r="BG6" t="s">
        <v>65</v>
      </c>
      <c r="BH6" t="s">
        <v>66</v>
      </c>
      <c r="BI6" t="s">
        <v>67</v>
      </c>
      <c r="BJ6" t="s">
        <v>68</v>
      </c>
      <c r="BK6" t="s">
        <v>69</v>
      </c>
      <c r="BL6" t="s">
        <v>70</v>
      </c>
      <c r="BM6" t="s">
        <v>71</v>
      </c>
      <c r="BN6" t="s">
        <v>72</v>
      </c>
      <c r="BO6" t="s">
        <v>73</v>
      </c>
      <c r="BP6" t="s">
        <v>74</v>
      </c>
      <c r="BQ6" t="s">
        <v>75</v>
      </c>
      <c r="BR6" t="s">
        <v>76</v>
      </c>
      <c r="BS6" t="s">
        <v>77</v>
      </c>
      <c r="BT6" t="s">
        <v>78</v>
      </c>
      <c r="BU6" t="s">
        <v>79</v>
      </c>
      <c r="BV6" t="s">
        <v>80</v>
      </c>
      <c r="BW6" t="s">
        <v>81</v>
      </c>
      <c r="BX6" t="s">
        <v>82</v>
      </c>
      <c r="BY6" t="s">
        <v>83</v>
      </c>
      <c r="BZ6" t="s">
        <v>84</v>
      </c>
      <c r="CA6" s="13" t="s">
        <v>455</v>
      </c>
    </row>
    <row r="7" spans="1:79" x14ac:dyDescent="0.25">
      <c r="A7">
        <v>24765</v>
      </c>
      <c r="B7" t="s">
        <v>85</v>
      </c>
      <c r="C7">
        <v>6.527729538</v>
      </c>
      <c r="D7">
        <v>1.4587345439999999</v>
      </c>
      <c r="E7">
        <v>0.37983376899999999</v>
      </c>
      <c r="F7">
        <v>3.8404551179999999</v>
      </c>
      <c r="G7">
        <v>1.2280599999999999E-4</v>
      </c>
      <c r="H7">
        <f>G7/(80/81)</f>
        <v>1.2434107500000001E-4</v>
      </c>
      <c r="I7" t="s">
        <v>86</v>
      </c>
      <c r="J7" t="s">
        <v>87</v>
      </c>
      <c r="K7">
        <v>147</v>
      </c>
      <c r="L7">
        <v>291</v>
      </c>
      <c r="M7" s="6">
        <v>0.56599999999999995</v>
      </c>
      <c r="N7">
        <v>291</v>
      </c>
      <c r="O7">
        <v>2.1000000000000001E-2</v>
      </c>
      <c r="P7" t="s">
        <v>88</v>
      </c>
      <c r="Q7" t="s">
        <v>89</v>
      </c>
      <c r="R7">
        <v>194</v>
      </c>
      <c r="S7">
        <v>6.9000000000000006E-2</v>
      </c>
      <c r="T7">
        <v>21</v>
      </c>
      <c r="U7" t="s">
        <v>90</v>
      </c>
      <c r="V7">
        <v>-1</v>
      </c>
      <c r="W7">
        <v>23</v>
      </c>
      <c r="X7">
        <v>1</v>
      </c>
      <c r="Y7">
        <v>12</v>
      </c>
      <c r="Z7">
        <v>239</v>
      </c>
      <c r="AA7">
        <v>14</v>
      </c>
      <c r="AB7">
        <v>0</v>
      </c>
      <c r="AC7">
        <v>2</v>
      </c>
      <c r="AD7">
        <v>291</v>
      </c>
      <c r="AE7">
        <v>3</v>
      </c>
      <c r="AF7">
        <v>1</v>
      </c>
      <c r="AG7">
        <v>2</v>
      </c>
      <c r="AH7">
        <v>1</v>
      </c>
      <c r="AI7">
        <v>2</v>
      </c>
      <c r="AJ7">
        <v>1</v>
      </c>
      <c r="AK7">
        <v>19</v>
      </c>
      <c r="AL7">
        <v>9</v>
      </c>
      <c r="AM7">
        <v>0</v>
      </c>
      <c r="AN7">
        <v>3</v>
      </c>
      <c r="AO7">
        <v>0</v>
      </c>
      <c r="AP7">
        <v>3</v>
      </c>
      <c r="AQ7">
        <v>20</v>
      </c>
      <c r="AR7">
        <v>26</v>
      </c>
      <c r="AS7">
        <v>11</v>
      </c>
      <c r="AT7">
        <v>2</v>
      </c>
      <c r="AU7">
        <v>1</v>
      </c>
      <c r="AV7">
        <v>5</v>
      </c>
      <c r="AW7">
        <v>4</v>
      </c>
      <c r="AX7">
        <v>12</v>
      </c>
      <c r="AY7">
        <v>8</v>
      </c>
      <c r="AZ7">
        <v>28</v>
      </c>
      <c r="BA7">
        <v>21</v>
      </c>
      <c r="BB7">
        <v>1</v>
      </c>
      <c r="BC7" s="3">
        <f>AE7/AE$5*20000000</f>
        <v>33.805349921994157</v>
      </c>
      <c r="BD7" s="3">
        <f t="shared" ref="BD7:BD19" si="0">AF7/AF$5*20000000</f>
        <v>2.8771422841805223</v>
      </c>
      <c r="BE7" s="3">
        <f t="shared" ref="BE7:BE19" si="1">AG7/AG$5*20000000</f>
        <v>6.3390939849921946</v>
      </c>
      <c r="BF7" s="3">
        <f t="shared" ref="BF7:BF19" si="2">AH7/AH$5*20000000</f>
        <v>7.6289638188761932</v>
      </c>
      <c r="BG7" s="3">
        <f t="shared" ref="BG7:BG19" si="3">AI7/AI$5*20000000</f>
        <v>30.016171212240597</v>
      </c>
      <c r="BH7" s="3">
        <f t="shared" ref="BH7:BH19" si="4">AJ7/AJ$5*20000000</f>
        <v>7.3534818736671808</v>
      </c>
      <c r="BI7" s="3">
        <f t="shared" ref="BI7:BI19" si="5">AK7/AK$5*20000000</f>
        <v>68.585372544914392</v>
      </c>
      <c r="BJ7" s="3">
        <f t="shared" ref="BJ7:BJ19" si="6">AL7/AL$5*20000000</f>
        <v>33.837582237073995</v>
      </c>
      <c r="BK7" s="3">
        <f t="shared" ref="BK7:BK19" si="7">AM7/AM$5*20000000</f>
        <v>0</v>
      </c>
      <c r="BL7" s="3">
        <f t="shared" ref="BL7:BL19" si="8">AN7/AN$5*20000000</f>
        <v>10.299649417099925</v>
      </c>
      <c r="BM7" s="3">
        <f t="shared" ref="BM7:BM19" si="9">AO7/AO$5*20000000</f>
        <v>0</v>
      </c>
      <c r="BN7" s="3">
        <f t="shared" ref="BN7:BN19" si="10">AP7/AP$5*20000000</f>
        <v>9.2391626546886059</v>
      </c>
      <c r="BO7" s="3">
        <f t="shared" ref="BO7:BO19" si="11">AQ7/AQ$5*20000000</f>
        <v>97.637466229641376</v>
      </c>
      <c r="BP7" s="3">
        <f t="shared" ref="BP7:BP19" si="12">AR7/AR$5*20000000</f>
        <v>48.434792425245561</v>
      </c>
      <c r="BQ7" s="3">
        <f t="shared" ref="BQ7:BQ19" si="13">AS7/AS$5*20000000</f>
        <v>55.123697577363608</v>
      </c>
      <c r="BR7" s="3">
        <f t="shared" ref="BR7:BR19" si="14">AT7/AT$5*20000000</f>
        <v>9.2840683530248427</v>
      </c>
      <c r="BS7" s="3">
        <f t="shared" ref="BS7:BS19" si="15">AU7/AU$5*20000000</f>
        <v>5.9309360292205353</v>
      </c>
      <c r="BT7" s="3">
        <f t="shared" ref="BT7:BT19" si="16">AV7/AV$5*20000000</f>
        <v>25.101573517237501</v>
      </c>
      <c r="BU7" s="3">
        <f t="shared" ref="BU7:BU19" si="17">AW7/AW$5*20000000</f>
        <v>20.669452564381469</v>
      </c>
      <c r="BV7" s="3">
        <f t="shared" ref="BV7:BV19" si="18">AX7/AX$5*20000000</f>
        <v>28.584298311454038</v>
      </c>
      <c r="BW7" s="3">
        <f t="shared" ref="BW7:BW19" si="19">AY7/AY$5*20000000</f>
        <v>36.560924095636977</v>
      </c>
      <c r="BX7" s="3">
        <f t="shared" ref="BX7:BX19" si="20">AZ7/AZ$5*20000000</f>
        <v>82.712423967342772</v>
      </c>
      <c r="BY7" s="3">
        <f t="shared" ref="BY7:BY19" si="21">BA7/BA$5*20000000</f>
        <v>158.78644810594233</v>
      </c>
      <c r="BZ7" s="3">
        <f t="shared" ref="BZ7:BZ19" si="22">BB7/BB$5*20000000</f>
        <v>30.089214521054927</v>
      </c>
      <c r="CA7" s="9">
        <f>AVERAGE(BW7:BZ7,BO7:BR7,BG7:BJ7)/AVERAGE(BC7:BF7,BK7:BN7,BS7:BV7)</f>
        <v>4.3756033846950766</v>
      </c>
    </row>
    <row r="8" spans="1:79" x14ac:dyDescent="0.25">
      <c r="A8">
        <v>19863</v>
      </c>
      <c r="B8" t="s">
        <v>91</v>
      </c>
      <c r="C8">
        <v>8.7955236729999999</v>
      </c>
      <c r="D8">
        <v>1.279452292</v>
      </c>
      <c r="E8">
        <v>0.33863318999999997</v>
      </c>
      <c r="F8">
        <v>3.7782837890000001</v>
      </c>
      <c r="G8">
        <v>1.57913E-4</v>
      </c>
      <c r="H8">
        <f>G8/(79/81)</f>
        <v>1.6191079746835443E-4</v>
      </c>
      <c r="I8" t="s">
        <v>92</v>
      </c>
      <c r="J8" t="s">
        <v>93</v>
      </c>
      <c r="K8">
        <v>90</v>
      </c>
      <c r="L8">
        <v>14317</v>
      </c>
      <c r="M8" s="6">
        <v>27.837</v>
      </c>
      <c r="N8">
        <v>14310</v>
      </c>
      <c r="O8">
        <v>0.53100000000000003</v>
      </c>
      <c r="P8" t="s">
        <v>47</v>
      </c>
      <c r="Q8" t="s">
        <v>94</v>
      </c>
      <c r="R8">
        <v>5538</v>
      </c>
      <c r="S8">
        <v>1.7000000000000001E-2</v>
      </c>
      <c r="T8">
        <v>21</v>
      </c>
      <c r="U8" t="s">
        <v>95</v>
      </c>
      <c r="V8">
        <v>63</v>
      </c>
      <c r="W8">
        <v>67</v>
      </c>
      <c r="X8">
        <v>0</v>
      </c>
      <c r="Y8">
        <v>491</v>
      </c>
      <c r="Z8">
        <v>9837</v>
      </c>
      <c r="AA8">
        <v>3850</v>
      </c>
      <c r="AB8">
        <v>59</v>
      </c>
      <c r="AC8">
        <v>13</v>
      </c>
      <c r="AD8">
        <v>14317</v>
      </c>
      <c r="AE8">
        <v>6</v>
      </c>
      <c r="AF8">
        <v>12</v>
      </c>
      <c r="AG8">
        <v>13</v>
      </c>
      <c r="AH8">
        <v>1</v>
      </c>
      <c r="AI8">
        <v>12</v>
      </c>
      <c r="AJ8">
        <v>25</v>
      </c>
      <c r="AK8">
        <v>17</v>
      </c>
      <c r="AL8">
        <v>33</v>
      </c>
      <c r="AM8">
        <v>4</v>
      </c>
      <c r="AN8">
        <v>6</v>
      </c>
      <c r="AO8">
        <v>0</v>
      </c>
      <c r="AP8">
        <v>2</v>
      </c>
      <c r="AQ8">
        <v>7</v>
      </c>
      <c r="AR8">
        <v>20</v>
      </c>
      <c r="AS8">
        <v>2</v>
      </c>
      <c r="AT8">
        <v>2</v>
      </c>
      <c r="AU8">
        <v>9</v>
      </c>
      <c r="AV8">
        <v>2</v>
      </c>
      <c r="AW8">
        <v>1</v>
      </c>
      <c r="AX8">
        <v>1</v>
      </c>
      <c r="AY8">
        <v>21</v>
      </c>
      <c r="AZ8">
        <v>23</v>
      </c>
      <c r="BA8">
        <v>1</v>
      </c>
      <c r="BB8">
        <v>0</v>
      </c>
      <c r="BC8" s="3">
        <f t="shared" ref="BC8:BC19" si="23">AE8/AE$5*20000000</f>
        <v>67.610699843988314</v>
      </c>
      <c r="BD8" s="3">
        <f t="shared" si="0"/>
        <v>34.52570741016627</v>
      </c>
      <c r="BE8" s="3">
        <f t="shared" si="1"/>
        <v>41.204110902449273</v>
      </c>
      <c r="BF8" s="3">
        <f t="shared" si="2"/>
        <v>7.6289638188761932</v>
      </c>
      <c r="BG8" s="3">
        <f t="shared" si="3"/>
        <v>180.09702727344356</v>
      </c>
      <c r="BH8" s="3">
        <f t="shared" si="4"/>
        <v>183.83704684167955</v>
      </c>
      <c r="BI8" s="3">
        <f t="shared" si="5"/>
        <v>61.365859645449717</v>
      </c>
      <c r="BJ8" s="3">
        <f t="shared" si="6"/>
        <v>124.07113486927133</v>
      </c>
      <c r="BK8" s="3">
        <f t="shared" si="7"/>
        <v>15.532747010965538</v>
      </c>
      <c r="BL8" s="3">
        <f t="shared" si="8"/>
        <v>20.59929883419985</v>
      </c>
      <c r="BM8" s="3">
        <f t="shared" si="9"/>
        <v>0</v>
      </c>
      <c r="BN8" s="3">
        <f t="shared" si="10"/>
        <v>6.1594417697924033</v>
      </c>
      <c r="BO8" s="3">
        <f t="shared" si="11"/>
        <v>34.173113180374479</v>
      </c>
      <c r="BP8" s="3">
        <f t="shared" si="12"/>
        <v>37.257532634804271</v>
      </c>
      <c r="BQ8" s="3">
        <f t="shared" si="13"/>
        <v>10.022490468611565</v>
      </c>
      <c r="BR8" s="3">
        <f t="shared" si="14"/>
        <v>9.2840683530248427</v>
      </c>
      <c r="BS8" s="3">
        <f t="shared" si="15"/>
        <v>53.378424262984822</v>
      </c>
      <c r="BT8" s="3">
        <f t="shared" si="16"/>
        <v>10.040629406895002</v>
      </c>
      <c r="BU8" s="3">
        <f t="shared" si="17"/>
        <v>5.1673631410953673</v>
      </c>
      <c r="BV8" s="3">
        <f t="shared" si="18"/>
        <v>2.3820248592878368</v>
      </c>
      <c r="BW8" s="3">
        <f t="shared" si="19"/>
        <v>95.972425751047069</v>
      </c>
      <c r="BX8" s="3">
        <f t="shared" si="20"/>
        <v>67.9423482588887</v>
      </c>
      <c r="BY8" s="3">
        <f t="shared" si="21"/>
        <v>7.5612594336163008</v>
      </c>
      <c r="BZ8" s="3">
        <f t="shared" si="22"/>
        <v>0</v>
      </c>
      <c r="CA8" s="9">
        <f t="shared" ref="CA8:CA19" si="24">AVERAGE(BW8:BZ8,BO8:BR8,BG8:BJ8)/AVERAGE(BC8:BF8,BK8:BN8,BS8:BV8)</f>
        <v>3.0715138895323992</v>
      </c>
    </row>
    <row r="9" spans="1:79" x14ac:dyDescent="0.25">
      <c r="A9">
        <v>4393</v>
      </c>
      <c r="B9" t="s">
        <v>96</v>
      </c>
      <c r="C9">
        <v>146.4932604</v>
      </c>
      <c r="D9">
        <v>1.01232286</v>
      </c>
      <c r="E9">
        <v>0.27260412299999998</v>
      </c>
      <c r="F9">
        <v>3.713527333</v>
      </c>
      <c r="G9">
        <v>2.0439000000000001E-4</v>
      </c>
      <c r="H9">
        <f>G9/(78/81)</f>
        <v>2.1225115384615386E-4</v>
      </c>
      <c r="I9" t="s">
        <v>97</v>
      </c>
      <c r="J9" t="s">
        <v>98</v>
      </c>
      <c r="K9">
        <v>143</v>
      </c>
      <c r="L9">
        <v>1788028</v>
      </c>
      <c r="M9" s="6">
        <v>3476.5610000000001</v>
      </c>
      <c r="N9">
        <v>2112</v>
      </c>
      <c r="O9">
        <v>2E-3</v>
      </c>
      <c r="P9" t="s">
        <v>88</v>
      </c>
      <c r="Q9" t="s">
        <v>99</v>
      </c>
      <c r="R9">
        <v>1727670</v>
      </c>
      <c r="S9">
        <v>0</v>
      </c>
      <c r="T9">
        <v>21</v>
      </c>
      <c r="U9" t="s">
        <v>43</v>
      </c>
      <c r="V9">
        <v>-1</v>
      </c>
      <c r="W9">
        <v>958</v>
      </c>
      <c r="X9">
        <v>47</v>
      </c>
      <c r="Y9">
        <v>4461</v>
      </c>
      <c r="Z9">
        <v>1772307</v>
      </c>
      <c r="AA9">
        <v>8834</v>
      </c>
      <c r="AB9">
        <v>1171</v>
      </c>
      <c r="AC9">
        <v>250</v>
      </c>
      <c r="AD9">
        <v>1788028</v>
      </c>
      <c r="AE9">
        <v>14</v>
      </c>
      <c r="AF9">
        <v>153</v>
      </c>
      <c r="AG9">
        <v>168</v>
      </c>
      <c r="AH9">
        <v>15</v>
      </c>
      <c r="AI9">
        <v>13</v>
      </c>
      <c r="AJ9">
        <v>107</v>
      </c>
      <c r="AK9">
        <v>162</v>
      </c>
      <c r="AL9">
        <v>471</v>
      </c>
      <c r="AM9">
        <v>344</v>
      </c>
      <c r="AN9">
        <v>83</v>
      </c>
      <c r="AO9">
        <v>80</v>
      </c>
      <c r="AP9">
        <v>295</v>
      </c>
      <c r="AQ9">
        <v>481</v>
      </c>
      <c r="AR9">
        <v>1204</v>
      </c>
      <c r="AS9">
        <v>327</v>
      </c>
      <c r="AT9">
        <v>262</v>
      </c>
      <c r="AU9">
        <v>104</v>
      </c>
      <c r="AV9">
        <v>34</v>
      </c>
      <c r="AW9">
        <v>72</v>
      </c>
      <c r="AX9">
        <v>124</v>
      </c>
      <c r="AY9">
        <v>95</v>
      </c>
      <c r="AZ9">
        <v>206</v>
      </c>
      <c r="BA9">
        <v>65</v>
      </c>
      <c r="BB9">
        <v>28</v>
      </c>
      <c r="BC9" s="3">
        <f t="shared" si="23"/>
        <v>157.75829963597272</v>
      </c>
      <c r="BD9" s="3">
        <f t="shared" si="0"/>
        <v>440.20276947961986</v>
      </c>
      <c r="BE9" s="3">
        <f t="shared" si="1"/>
        <v>532.48389473934435</v>
      </c>
      <c r="BF9" s="3">
        <f t="shared" si="2"/>
        <v>114.43445728314289</v>
      </c>
      <c r="BG9" s="3">
        <f t="shared" si="3"/>
        <v>195.10511287956388</v>
      </c>
      <c r="BH9" s="3">
        <f t="shared" si="4"/>
        <v>786.82256048238833</v>
      </c>
      <c r="BI9" s="3">
        <f t="shared" si="5"/>
        <v>584.78054485663847</v>
      </c>
      <c r="BJ9" s="3">
        <f t="shared" si="6"/>
        <v>1770.8334704068725</v>
      </c>
      <c r="BK9" s="3">
        <f t="shared" si="7"/>
        <v>1335.8162429430361</v>
      </c>
      <c r="BL9" s="3">
        <f t="shared" si="8"/>
        <v>284.95696720643122</v>
      </c>
      <c r="BM9" s="3">
        <f t="shared" si="9"/>
        <v>286.89449795524911</v>
      </c>
      <c r="BN9" s="3">
        <f t="shared" si="10"/>
        <v>908.51766104437957</v>
      </c>
      <c r="BO9" s="3">
        <f t="shared" si="11"/>
        <v>2348.181062822875</v>
      </c>
      <c r="BP9" s="3">
        <f t="shared" si="12"/>
        <v>2242.9034646152172</v>
      </c>
      <c r="BQ9" s="3">
        <f t="shared" si="13"/>
        <v>1638.677191617991</v>
      </c>
      <c r="BR9" s="3">
        <f t="shared" si="14"/>
        <v>1216.2129542462542</v>
      </c>
      <c r="BS9" s="3">
        <f t="shared" si="15"/>
        <v>616.81734703893574</v>
      </c>
      <c r="BT9" s="3">
        <f t="shared" si="16"/>
        <v>170.690699917215</v>
      </c>
      <c r="BU9" s="3">
        <f t="shared" si="17"/>
        <v>372.05014615886648</v>
      </c>
      <c r="BV9" s="3">
        <f t="shared" si="18"/>
        <v>295.37108255169176</v>
      </c>
      <c r="BW9" s="3">
        <f t="shared" si="19"/>
        <v>434.16097363568912</v>
      </c>
      <c r="BX9" s="3">
        <f t="shared" si="20"/>
        <v>608.52711918830755</v>
      </c>
      <c r="BY9" s="3">
        <f t="shared" si="21"/>
        <v>491.48186318505958</v>
      </c>
      <c r="BZ9" s="3">
        <f t="shared" si="22"/>
        <v>842.49800658953791</v>
      </c>
      <c r="CA9" s="9">
        <f t="shared" si="24"/>
        <v>2.3858227850088509</v>
      </c>
    </row>
    <row r="10" spans="1:79" x14ac:dyDescent="0.25">
      <c r="A10">
        <v>4674</v>
      </c>
      <c r="B10" t="s">
        <v>100</v>
      </c>
      <c r="C10">
        <v>142.08780049999999</v>
      </c>
      <c r="D10">
        <v>0.93812550400000005</v>
      </c>
      <c r="E10">
        <v>0.25393626600000002</v>
      </c>
      <c r="F10">
        <v>3.6943344819999999</v>
      </c>
      <c r="G10">
        <v>2.2046300000000001E-4</v>
      </c>
      <c r="H10">
        <f>G10/(77/81)</f>
        <v>2.3191562337662337E-4</v>
      </c>
      <c r="I10" t="s">
        <v>482</v>
      </c>
      <c r="J10" t="s">
        <v>101</v>
      </c>
      <c r="K10">
        <v>478</v>
      </c>
      <c r="L10">
        <v>115132</v>
      </c>
      <c r="M10" s="6">
        <v>223.857</v>
      </c>
      <c r="N10">
        <v>5133</v>
      </c>
      <c r="O10">
        <v>0.44400000000000001</v>
      </c>
      <c r="P10" t="s">
        <v>47</v>
      </c>
      <c r="Q10" t="s">
        <v>102</v>
      </c>
      <c r="R10">
        <v>58411</v>
      </c>
      <c r="S10">
        <v>6.0000000000000001E-3</v>
      </c>
      <c r="T10">
        <v>21</v>
      </c>
      <c r="U10" t="s">
        <v>95</v>
      </c>
      <c r="V10">
        <v>373.3</v>
      </c>
      <c r="W10">
        <v>746</v>
      </c>
      <c r="X10">
        <v>48</v>
      </c>
      <c r="Y10">
        <v>5524</v>
      </c>
      <c r="Z10">
        <v>104224</v>
      </c>
      <c r="AA10">
        <v>3691</v>
      </c>
      <c r="AB10">
        <v>745</v>
      </c>
      <c r="AC10">
        <v>154</v>
      </c>
      <c r="AD10">
        <v>115132</v>
      </c>
      <c r="AE10">
        <v>10</v>
      </c>
      <c r="AF10">
        <v>166</v>
      </c>
      <c r="AG10">
        <v>288</v>
      </c>
      <c r="AH10">
        <v>65</v>
      </c>
      <c r="AI10">
        <v>31</v>
      </c>
      <c r="AJ10">
        <v>221</v>
      </c>
      <c r="AK10">
        <v>500</v>
      </c>
      <c r="AL10">
        <v>580</v>
      </c>
      <c r="AM10">
        <v>108</v>
      </c>
      <c r="AN10">
        <v>107</v>
      </c>
      <c r="AO10">
        <v>144</v>
      </c>
      <c r="AP10">
        <v>413</v>
      </c>
      <c r="AQ10">
        <v>146</v>
      </c>
      <c r="AR10">
        <v>519</v>
      </c>
      <c r="AS10">
        <v>216</v>
      </c>
      <c r="AT10">
        <v>284</v>
      </c>
      <c r="AU10">
        <v>70</v>
      </c>
      <c r="AV10">
        <v>58</v>
      </c>
      <c r="AW10">
        <v>38</v>
      </c>
      <c r="AX10">
        <v>79</v>
      </c>
      <c r="AY10">
        <v>81</v>
      </c>
      <c r="AZ10">
        <v>270</v>
      </c>
      <c r="BA10">
        <v>78</v>
      </c>
      <c r="BB10">
        <v>11</v>
      </c>
      <c r="BC10" s="3">
        <f t="shared" si="23"/>
        <v>112.68449973998052</v>
      </c>
      <c r="BD10" s="3">
        <f t="shared" si="0"/>
        <v>477.60561917396672</v>
      </c>
      <c r="BE10" s="3">
        <f t="shared" si="1"/>
        <v>912.82953383887605</v>
      </c>
      <c r="BF10" s="3">
        <f t="shared" si="2"/>
        <v>495.88264822695254</v>
      </c>
      <c r="BG10" s="3">
        <f t="shared" si="3"/>
        <v>465.2506537897292</v>
      </c>
      <c r="BH10" s="3">
        <f t="shared" si="4"/>
        <v>1625.1194940804469</v>
      </c>
      <c r="BI10" s="3">
        <f t="shared" si="5"/>
        <v>1804.8782248661682</v>
      </c>
      <c r="BJ10" s="3">
        <f t="shared" si="6"/>
        <v>2180.6441886114353</v>
      </c>
      <c r="BK10" s="3">
        <f t="shared" si="7"/>
        <v>419.3841692960695</v>
      </c>
      <c r="BL10" s="3">
        <f t="shared" si="8"/>
        <v>367.35416254323064</v>
      </c>
      <c r="BM10" s="3">
        <f t="shared" si="9"/>
        <v>516.41009631944837</v>
      </c>
      <c r="BN10" s="3">
        <f t="shared" si="10"/>
        <v>1271.9247254621314</v>
      </c>
      <c r="BO10" s="3">
        <f t="shared" si="11"/>
        <v>712.75350347638198</v>
      </c>
      <c r="BP10" s="3">
        <f t="shared" si="12"/>
        <v>966.83297187317078</v>
      </c>
      <c r="BQ10" s="3">
        <f t="shared" si="13"/>
        <v>1082.428970610049</v>
      </c>
      <c r="BR10" s="3">
        <f t="shared" si="14"/>
        <v>1318.3377061295278</v>
      </c>
      <c r="BS10" s="3">
        <f t="shared" si="15"/>
        <v>415.16552204543751</v>
      </c>
      <c r="BT10" s="3">
        <f t="shared" si="16"/>
        <v>291.17825279995503</v>
      </c>
      <c r="BU10" s="3">
        <f t="shared" si="17"/>
        <v>196.35979936162394</v>
      </c>
      <c r="BV10" s="3">
        <f t="shared" si="18"/>
        <v>188.17996388373908</v>
      </c>
      <c r="BW10" s="3">
        <f t="shared" si="19"/>
        <v>370.17935646832439</v>
      </c>
      <c r="BX10" s="3">
        <f t="shared" si="20"/>
        <v>797.58408825651952</v>
      </c>
      <c r="BY10" s="3">
        <f t="shared" si="21"/>
        <v>589.77823582207145</v>
      </c>
      <c r="BZ10" s="3">
        <f t="shared" si="22"/>
        <v>330.98135973160419</v>
      </c>
      <c r="CA10" s="9">
        <f t="shared" si="24"/>
        <v>2.1614929198098154</v>
      </c>
    </row>
    <row r="11" spans="1:79" x14ac:dyDescent="0.25">
      <c r="A11">
        <v>12850</v>
      </c>
      <c r="B11" t="s">
        <v>103</v>
      </c>
      <c r="C11">
        <v>66.579692399999999</v>
      </c>
      <c r="D11">
        <v>0.74477451900000002</v>
      </c>
      <c r="E11">
        <v>0.266375794</v>
      </c>
      <c r="F11">
        <v>2.7959541959999998</v>
      </c>
      <c r="G11">
        <v>5.1746730000000003E-3</v>
      </c>
      <c r="H11">
        <f>G11/(76/81)</f>
        <v>5.5151120131578957E-3</v>
      </c>
      <c r="I11" t="s">
        <v>104</v>
      </c>
      <c r="J11" t="s">
        <v>105</v>
      </c>
      <c r="K11">
        <v>190</v>
      </c>
      <c r="L11">
        <v>5913</v>
      </c>
      <c r="M11" s="6">
        <v>11.497</v>
      </c>
      <c r="N11">
        <v>5909</v>
      </c>
      <c r="O11">
        <v>0.187</v>
      </c>
      <c r="P11" t="s">
        <v>88</v>
      </c>
      <c r="Q11" t="s">
        <v>106</v>
      </c>
      <c r="R11">
        <v>4350</v>
      </c>
      <c r="S11">
        <v>2.1000000000000001E-2</v>
      </c>
      <c r="T11">
        <v>21</v>
      </c>
      <c r="U11" t="s">
        <v>43</v>
      </c>
      <c r="V11">
        <v>-1</v>
      </c>
      <c r="W11">
        <v>91</v>
      </c>
      <c r="X11">
        <v>12</v>
      </c>
      <c r="Y11">
        <v>124</v>
      </c>
      <c r="Z11">
        <v>5635</v>
      </c>
      <c r="AA11">
        <v>44</v>
      </c>
      <c r="AB11">
        <v>6</v>
      </c>
      <c r="AC11">
        <v>1</v>
      </c>
      <c r="AD11">
        <v>5913</v>
      </c>
      <c r="AE11">
        <v>11</v>
      </c>
      <c r="AF11">
        <v>140</v>
      </c>
      <c r="AG11">
        <v>85</v>
      </c>
      <c r="AH11">
        <v>9</v>
      </c>
      <c r="AI11">
        <v>15</v>
      </c>
      <c r="AJ11">
        <v>74</v>
      </c>
      <c r="AK11">
        <v>68</v>
      </c>
      <c r="AL11">
        <v>105</v>
      </c>
      <c r="AM11">
        <v>242</v>
      </c>
      <c r="AN11">
        <v>60</v>
      </c>
      <c r="AO11">
        <v>20</v>
      </c>
      <c r="AP11">
        <v>45</v>
      </c>
      <c r="AQ11">
        <v>68</v>
      </c>
      <c r="AR11">
        <v>412</v>
      </c>
      <c r="AS11">
        <v>23</v>
      </c>
      <c r="AT11">
        <v>46</v>
      </c>
      <c r="AU11">
        <v>56</v>
      </c>
      <c r="AV11">
        <v>47</v>
      </c>
      <c r="AW11">
        <v>33</v>
      </c>
      <c r="AX11">
        <v>47</v>
      </c>
      <c r="AY11">
        <v>129</v>
      </c>
      <c r="AZ11">
        <v>341</v>
      </c>
      <c r="BA11">
        <v>63</v>
      </c>
      <c r="BB11">
        <v>16</v>
      </c>
      <c r="BC11" s="3">
        <f t="shared" si="23"/>
        <v>123.95294971397857</v>
      </c>
      <c r="BD11" s="3">
        <f t="shared" si="0"/>
        <v>402.79991978527312</v>
      </c>
      <c r="BE11" s="3">
        <f t="shared" si="1"/>
        <v>269.4114943621683</v>
      </c>
      <c r="BF11" s="3">
        <f t="shared" si="2"/>
        <v>68.660674369885726</v>
      </c>
      <c r="BG11" s="3">
        <f t="shared" si="3"/>
        <v>225.12128409180445</v>
      </c>
      <c r="BH11" s="3">
        <f t="shared" si="4"/>
        <v>544.15765865137143</v>
      </c>
      <c r="BI11" s="3">
        <f t="shared" si="5"/>
        <v>245.46343858179887</v>
      </c>
      <c r="BJ11" s="3">
        <f t="shared" si="6"/>
        <v>394.77179276586327</v>
      </c>
      <c r="BK11" s="3">
        <f t="shared" si="7"/>
        <v>939.73119416341501</v>
      </c>
      <c r="BL11" s="3">
        <f t="shared" si="8"/>
        <v>205.99298834199848</v>
      </c>
      <c r="BM11" s="3">
        <f t="shared" si="9"/>
        <v>71.723624488812277</v>
      </c>
      <c r="BN11" s="3">
        <f t="shared" si="10"/>
        <v>138.58743982032908</v>
      </c>
      <c r="BO11" s="3">
        <f t="shared" si="11"/>
        <v>331.96738518078064</v>
      </c>
      <c r="BP11" s="3">
        <f t="shared" si="12"/>
        <v>767.50517227696798</v>
      </c>
      <c r="BQ11" s="3">
        <f t="shared" si="13"/>
        <v>115.25864038903299</v>
      </c>
      <c r="BR11" s="3">
        <f t="shared" si="14"/>
        <v>213.53357211957137</v>
      </c>
      <c r="BS11" s="3">
        <f t="shared" si="15"/>
        <v>332.13241763635</v>
      </c>
      <c r="BT11" s="3">
        <f t="shared" si="16"/>
        <v>235.95479106203251</v>
      </c>
      <c r="BU11" s="3">
        <f t="shared" si="17"/>
        <v>170.52298365614712</v>
      </c>
      <c r="BV11" s="3">
        <f t="shared" si="18"/>
        <v>111.95516838652833</v>
      </c>
      <c r="BW11" s="3">
        <f t="shared" si="19"/>
        <v>589.54490104214631</v>
      </c>
      <c r="BX11" s="3">
        <f t="shared" si="20"/>
        <v>1007.3191633165674</v>
      </c>
      <c r="BY11" s="3">
        <f t="shared" si="21"/>
        <v>476.35934431782698</v>
      </c>
      <c r="BZ11" s="3">
        <f t="shared" si="22"/>
        <v>481.42743233687884</v>
      </c>
      <c r="CA11" s="9">
        <f t="shared" si="24"/>
        <v>1.755676486086329</v>
      </c>
    </row>
    <row r="12" spans="1:79" x14ac:dyDescent="0.25">
      <c r="A12">
        <v>19028</v>
      </c>
      <c r="B12" t="s">
        <v>107</v>
      </c>
      <c r="C12">
        <v>250.8486388</v>
      </c>
      <c r="D12" s="5">
        <v>1.101781482</v>
      </c>
      <c r="E12">
        <v>0.39436406899999998</v>
      </c>
      <c r="F12">
        <v>2.7938181210000002</v>
      </c>
      <c r="G12">
        <v>5.2089770000000001E-3</v>
      </c>
      <c r="H12">
        <f>G12/(75/81)</f>
        <v>5.6256951600000002E-3</v>
      </c>
      <c r="I12" s="5" t="s">
        <v>108</v>
      </c>
      <c r="J12" t="s">
        <v>109</v>
      </c>
      <c r="K12">
        <v>528</v>
      </c>
      <c r="L12">
        <v>2932436</v>
      </c>
      <c r="M12" s="6">
        <v>5701.6959999999999</v>
      </c>
      <c r="N12">
        <v>2898922</v>
      </c>
      <c r="O12">
        <v>0.28299999999999997</v>
      </c>
      <c r="P12" t="s">
        <v>47</v>
      </c>
      <c r="Q12" t="s">
        <v>110</v>
      </c>
      <c r="R12">
        <v>1951650</v>
      </c>
      <c r="S12">
        <v>1E-3</v>
      </c>
      <c r="T12">
        <v>21</v>
      </c>
      <c r="U12" t="s">
        <v>95</v>
      </c>
      <c r="V12">
        <v>7566.3</v>
      </c>
      <c r="W12">
        <v>7245</v>
      </c>
      <c r="X12">
        <v>635</v>
      </c>
      <c r="Y12">
        <v>13294</v>
      </c>
      <c r="Z12">
        <v>2878595</v>
      </c>
      <c r="AA12">
        <v>24122</v>
      </c>
      <c r="AB12">
        <v>2272</v>
      </c>
      <c r="AC12">
        <v>6273</v>
      </c>
      <c r="AD12">
        <v>2932436</v>
      </c>
      <c r="AE12">
        <v>1</v>
      </c>
      <c r="AF12">
        <v>6</v>
      </c>
      <c r="AG12">
        <v>7</v>
      </c>
      <c r="AH12">
        <v>0</v>
      </c>
      <c r="AI12">
        <v>0</v>
      </c>
      <c r="AJ12">
        <v>4</v>
      </c>
      <c r="AK12">
        <v>13</v>
      </c>
      <c r="AL12">
        <v>16</v>
      </c>
      <c r="AM12">
        <v>5</v>
      </c>
      <c r="AN12">
        <v>3</v>
      </c>
      <c r="AO12">
        <v>6</v>
      </c>
      <c r="AP12">
        <v>29</v>
      </c>
      <c r="AQ12">
        <v>4</v>
      </c>
      <c r="AR12">
        <v>15</v>
      </c>
      <c r="AS12">
        <v>11</v>
      </c>
      <c r="AT12">
        <v>11</v>
      </c>
      <c r="AU12">
        <v>491</v>
      </c>
      <c r="AV12">
        <v>209</v>
      </c>
      <c r="AW12">
        <v>65</v>
      </c>
      <c r="AX12">
        <v>77</v>
      </c>
      <c r="AY12">
        <v>3158</v>
      </c>
      <c r="AZ12">
        <v>2494</v>
      </c>
      <c r="BA12">
        <v>276</v>
      </c>
      <c r="BB12">
        <v>18</v>
      </c>
      <c r="BC12" s="3">
        <f t="shared" si="23"/>
        <v>11.268449973998051</v>
      </c>
      <c r="BD12" s="3">
        <f t="shared" si="0"/>
        <v>17.262853705083135</v>
      </c>
      <c r="BE12" s="3">
        <f t="shared" si="1"/>
        <v>22.18682894747268</v>
      </c>
      <c r="BF12" s="3">
        <f t="shared" si="2"/>
        <v>0</v>
      </c>
      <c r="BG12" s="3">
        <f t="shared" si="3"/>
        <v>0</v>
      </c>
      <c r="BH12" s="3">
        <f t="shared" si="4"/>
        <v>29.413927494668723</v>
      </c>
      <c r="BI12" s="3">
        <f t="shared" si="5"/>
        <v>46.926833846520374</v>
      </c>
      <c r="BJ12" s="3">
        <f t="shared" si="6"/>
        <v>60.155701754798216</v>
      </c>
      <c r="BK12" s="3">
        <f t="shared" si="7"/>
        <v>19.415933763706921</v>
      </c>
      <c r="BL12" s="3">
        <f t="shared" si="8"/>
        <v>10.299649417099925</v>
      </c>
      <c r="BM12" s="3">
        <f t="shared" si="9"/>
        <v>21.517087346643684</v>
      </c>
      <c r="BN12" s="3">
        <f t="shared" si="10"/>
        <v>89.311905661989854</v>
      </c>
      <c r="BO12" s="3">
        <f t="shared" si="11"/>
        <v>19.527493245928277</v>
      </c>
      <c r="BP12" s="3">
        <f t="shared" si="12"/>
        <v>27.943149476103205</v>
      </c>
      <c r="BQ12" s="3">
        <f t="shared" si="13"/>
        <v>55.123697577363608</v>
      </c>
      <c r="BR12" s="3">
        <f t="shared" si="14"/>
        <v>51.062375941636631</v>
      </c>
      <c r="BS12" s="3">
        <f t="shared" si="15"/>
        <v>2912.0895903472829</v>
      </c>
      <c r="BT12" s="3">
        <f t="shared" si="16"/>
        <v>1049.2457730205276</v>
      </c>
      <c r="BU12" s="3">
        <f t="shared" si="17"/>
        <v>335.87860417119884</v>
      </c>
      <c r="BV12" s="3">
        <f t="shared" si="18"/>
        <v>183.41591416516343</v>
      </c>
      <c r="BW12" s="3">
        <f t="shared" si="19"/>
        <v>14432.424786752697</v>
      </c>
      <c r="BX12" s="3">
        <f t="shared" si="20"/>
        <v>7367.3137633768874</v>
      </c>
      <c r="BY12" s="3">
        <f t="shared" si="21"/>
        <v>2086.9076036780989</v>
      </c>
      <c r="BZ12" s="3">
        <f t="shared" si="22"/>
        <v>541.60586137898872</v>
      </c>
      <c r="CA12" s="9">
        <f t="shared" si="24"/>
        <v>5.2908761739686199</v>
      </c>
    </row>
    <row r="13" spans="1:79" x14ac:dyDescent="0.25">
      <c r="A13">
        <v>13813</v>
      </c>
      <c r="B13" t="s">
        <v>111</v>
      </c>
      <c r="C13">
        <v>31.362299190000002</v>
      </c>
      <c r="D13" s="5">
        <v>0.70498783799999998</v>
      </c>
      <c r="E13">
        <v>0.29293302900000001</v>
      </c>
      <c r="F13">
        <v>2.4066519230000001</v>
      </c>
      <c r="G13">
        <v>1.6099506E-2</v>
      </c>
      <c r="H13">
        <f>G13/(74/81)</f>
        <v>1.7622432243243245E-2</v>
      </c>
      <c r="I13" t="s">
        <v>152</v>
      </c>
      <c r="J13" t="s">
        <v>112</v>
      </c>
      <c r="K13">
        <v>1233</v>
      </c>
      <c r="L13">
        <v>5730</v>
      </c>
      <c r="M13" s="6">
        <v>11.141</v>
      </c>
      <c r="N13">
        <v>974</v>
      </c>
      <c r="O13">
        <v>0.67800000000000005</v>
      </c>
      <c r="P13" t="s">
        <v>47</v>
      </c>
      <c r="Q13" t="s">
        <v>113</v>
      </c>
      <c r="R13">
        <v>252</v>
      </c>
      <c r="S13">
        <v>0.255</v>
      </c>
      <c r="T13">
        <v>21</v>
      </c>
      <c r="U13" t="s">
        <v>49</v>
      </c>
      <c r="V13">
        <v>16.8</v>
      </c>
      <c r="W13">
        <v>86</v>
      </c>
      <c r="X13">
        <v>56</v>
      </c>
      <c r="Y13">
        <v>144</v>
      </c>
      <c r="Z13">
        <v>4368</v>
      </c>
      <c r="AA13">
        <v>809</v>
      </c>
      <c r="AB13">
        <v>82</v>
      </c>
      <c r="AC13">
        <v>185</v>
      </c>
      <c r="AD13">
        <v>5730</v>
      </c>
      <c r="AE13">
        <v>28</v>
      </c>
      <c r="AF13">
        <v>32</v>
      </c>
      <c r="AG13">
        <v>52</v>
      </c>
      <c r="AH13">
        <v>13</v>
      </c>
      <c r="AI13">
        <v>12</v>
      </c>
      <c r="AJ13">
        <v>62</v>
      </c>
      <c r="AK13">
        <v>83</v>
      </c>
      <c r="AL13">
        <v>62</v>
      </c>
      <c r="AM13">
        <v>48</v>
      </c>
      <c r="AN13">
        <v>3</v>
      </c>
      <c r="AO13">
        <v>18</v>
      </c>
      <c r="AP13">
        <v>72</v>
      </c>
      <c r="AQ13">
        <v>41</v>
      </c>
      <c r="AR13">
        <v>72</v>
      </c>
      <c r="AS13">
        <v>21</v>
      </c>
      <c r="AT13">
        <v>12</v>
      </c>
      <c r="AU13">
        <v>9</v>
      </c>
      <c r="AV13">
        <v>9</v>
      </c>
      <c r="AW13">
        <v>28</v>
      </c>
      <c r="AX13">
        <v>30</v>
      </c>
      <c r="AY13">
        <v>44</v>
      </c>
      <c r="AZ13">
        <v>60</v>
      </c>
      <c r="BA13">
        <v>35</v>
      </c>
      <c r="BB13">
        <v>7</v>
      </c>
      <c r="BC13" s="3">
        <f t="shared" si="23"/>
        <v>315.51659927194544</v>
      </c>
      <c r="BD13" s="3">
        <f t="shared" si="0"/>
        <v>92.068553093776714</v>
      </c>
      <c r="BE13" s="3">
        <f t="shared" si="1"/>
        <v>164.81644360979709</v>
      </c>
      <c r="BF13" s="3">
        <f t="shared" si="2"/>
        <v>99.176529645390502</v>
      </c>
      <c r="BG13" s="3">
        <f t="shared" si="3"/>
        <v>180.09702727344356</v>
      </c>
      <c r="BH13" s="3">
        <f t="shared" si="4"/>
        <v>455.91587616736524</v>
      </c>
      <c r="BI13" s="3">
        <f t="shared" si="5"/>
        <v>299.60978532778392</v>
      </c>
      <c r="BJ13" s="3">
        <f t="shared" si="6"/>
        <v>233.10334429984309</v>
      </c>
      <c r="BK13" s="3">
        <f t="shared" si="7"/>
        <v>186.39296413158644</v>
      </c>
      <c r="BL13" s="3">
        <f t="shared" si="8"/>
        <v>10.299649417099925</v>
      </c>
      <c r="BM13" s="3">
        <f t="shared" si="9"/>
        <v>64.551262039931046</v>
      </c>
      <c r="BN13" s="3">
        <f t="shared" si="10"/>
        <v>221.73990371252654</v>
      </c>
      <c r="BO13" s="3">
        <f t="shared" si="11"/>
        <v>200.15680577076481</v>
      </c>
      <c r="BP13" s="3">
        <f t="shared" si="12"/>
        <v>134.1271174852954</v>
      </c>
      <c r="BQ13" s="3">
        <f t="shared" si="13"/>
        <v>105.23614992042143</v>
      </c>
      <c r="BR13" s="3">
        <f t="shared" si="14"/>
        <v>55.704410118149056</v>
      </c>
      <c r="BS13" s="3">
        <f t="shared" si="15"/>
        <v>53.378424262984822</v>
      </c>
      <c r="BT13" s="3">
        <f t="shared" si="16"/>
        <v>45.182832331027505</v>
      </c>
      <c r="BU13" s="3">
        <f t="shared" si="17"/>
        <v>144.6861679506703</v>
      </c>
      <c r="BV13" s="3">
        <f t="shared" si="18"/>
        <v>71.460745778635086</v>
      </c>
      <c r="BW13" s="3">
        <f t="shared" si="19"/>
        <v>201.08508252600339</v>
      </c>
      <c r="BX13" s="3">
        <f t="shared" si="20"/>
        <v>177.24090850144879</v>
      </c>
      <c r="BY13" s="3">
        <f t="shared" si="21"/>
        <v>264.64408017657053</v>
      </c>
      <c r="BZ13" s="3">
        <f t="shared" si="22"/>
        <v>210.62450164738448</v>
      </c>
      <c r="CA13" s="9">
        <f t="shared" si="24"/>
        <v>1.7134665243856126</v>
      </c>
    </row>
    <row r="14" spans="1:79" x14ac:dyDescent="0.25">
      <c r="A14">
        <v>15253</v>
      </c>
      <c r="B14" t="s">
        <v>114</v>
      </c>
      <c r="C14">
        <v>8.8971540410000003</v>
      </c>
      <c r="D14">
        <v>-0.96677782999999995</v>
      </c>
      <c r="E14">
        <v>0.41402868399999998</v>
      </c>
      <c r="F14">
        <v>-2.335050367</v>
      </c>
      <c r="G14">
        <v>1.9540789999999999E-2</v>
      </c>
      <c r="H14">
        <f>G14/(73/81)</f>
        <v>2.1682246438356163E-2</v>
      </c>
      <c r="I14" t="s">
        <v>115</v>
      </c>
      <c r="J14" t="s">
        <v>116</v>
      </c>
      <c r="K14">
        <v>347</v>
      </c>
      <c r="L14">
        <v>10610</v>
      </c>
      <c r="M14" s="6">
        <v>20.63</v>
      </c>
      <c r="N14">
        <v>10602</v>
      </c>
      <c r="O14">
        <v>0.995</v>
      </c>
      <c r="P14" t="s">
        <v>36</v>
      </c>
      <c r="Q14" t="s">
        <v>117</v>
      </c>
      <c r="R14">
        <v>5226</v>
      </c>
      <c r="S14">
        <v>2.1000000000000001E-2</v>
      </c>
      <c r="T14">
        <v>20</v>
      </c>
      <c r="U14" t="s">
        <v>43</v>
      </c>
      <c r="V14">
        <v>-1</v>
      </c>
      <c r="W14">
        <v>379</v>
      </c>
      <c r="X14">
        <v>10</v>
      </c>
      <c r="Y14">
        <v>5516</v>
      </c>
      <c r="Z14">
        <v>4273</v>
      </c>
      <c r="AA14">
        <v>349</v>
      </c>
      <c r="AB14">
        <v>54</v>
      </c>
      <c r="AC14">
        <v>29</v>
      </c>
      <c r="AD14">
        <v>10610</v>
      </c>
      <c r="AE14">
        <v>47</v>
      </c>
      <c r="AF14">
        <v>9</v>
      </c>
      <c r="AG14">
        <v>7</v>
      </c>
      <c r="AH14">
        <v>1</v>
      </c>
      <c r="AI14">
        <v>0</v>
      </c>
      <c r="AJ14">
        <v>3</v>
      </c>
      <c r="AK14">
        <v>22</v>
      </c>
      <c r="AL14">
        <v>5</v>
      </c>
      <c r="AM14">
        <v>3</v>
      </c>
      <c r="AN14">
        <v>15</v>
      </c>
      <c r="AO14">
        <v>1</v>
      </c>
      <c r="AP14">
        <v>18</v>
      </c>
      <c r="AQ14">
        <v>0</v>
      </c>
      <c r="AR14">
        <v>1</v>
      </c>
      <c r="AS14">
        <v>0</v>
      </c>
      <c r="AT14">
        <v>0</v>
      </c>
      <c r="AU14">
        <v>8</v>
      </c>
      <c r="AV14">
        <v>3</v>
      </c>
      <c r="AW14">
        <v>9</v>
      </c>
      <c r="AX14">
        <v>22</v>
      </c>
      <c r="AY14">
        <v>2</v>
      </c>
      <c r="AZ14">
        <v>10</v>
      </c>
      <c r="BA14">
        <v>0</v>
      </c>
      <c r="BB14">
        <v>3</v>
      </c>
      <c r="BC14" s="3">
        <f t="shared" si="23"/>
        <v>529.61714877790848</v>
      </c>
      <c r="BD14" s="3">
        <f t="shared" si="0"/>
        <v>25.8942805576247</v>
      </c>
      <c r="BE14" s="3">
        <f t="shared" si="1"/>
        <v>22.18682894747268</v>
      </c>
      <c r="BF14" s="3">
        <f t="shared" si="2"/>
        <v>7.6289638188761932</v>
      </c>
      <c r="BG14" s="3">
        <f t="shared" si="3"/>
        <v>0</v>
      </c>
      <c r="BH14" s="3">
        <f t="shared" si="4"/>
        <v>22.060445621001541</v>
      </c>
      <c r="BI14" s="3">
        <f t="shared" si="5"/>
        <v>79.414641894111412</v>
      </c>
      <c r="BJ14" s="3">
        <f t="shared" si="6"/>
        <v>18.798656798374441</v>
      </c>
      <c r="BK14" s="3">
        <f t="shared" si="7"/>
        <v>11.649560258224152</v>
      </c>
      <c r="BL14" s="3">
        <f t="shared" si="8"/>
        <v>51.498247085499621</v>
      </c>
      <c r="BM14" s="3">
        <f t="shared" si="9"/>
        <v>3.5861812244406139</v>
      </c>
      <c r="BN14" s="3">
        <f t="shared" si="10"/>
        <v>55.434975928131635</v>
      </c>
      <c r="BO14" s="3">
        <f t="shared" si="11"/>
        <v>0</v>
      </c>
      <c r="BP14" s="3">
        <f t="shared" si="12"/>
        <v>1.8628766317402137</v>
      </c>
      <c r="BQ14" s="3">
        <f t="shared" si="13"/>
        <v>0</v>
      </c>
      <c r="BR14" s="3">
        <f t="shared" si="14"/>
        <v>0</v>
      </c>
      <c r="BS14" s="3">
        <f t="shared" si="15"/>
        <v>47.447488233764282</v>
      </c>
      <c r="BT14" s="3">
        <f t="shared" si="16"/>
        <v>15.060944110342501</v>
      </c>
      <c r="BU14" s="3">
        <f t="shared" si="17"/>
        <v>46.50626826985831</v>
      </c>
      <c r="BV14" s="3">
        <f t="shared" si="18"/>
        <v>52.404546904332399</v>
      </c>
      <c r="BW14" s="3">
        <f t="shared" si="19"/>
        <v>9.1402310239092444</v>
      </c>
      <c r="BX14" s="3">
        <f t="shared" si="20"/>
        <v>29.540151416908131</v>
      </c>
      <c r="BY14" s="3">
        <f t="shared" si="21"/>
        <v>0</v>
      </c>
      <c r="BZ14" s="3">
        <f t="shared" si="22"/>
        <v>90.267643563164796</v>
      </c>
      <c r="CA14" s="9">
        <f t="shared" si="24"/>
        <v>0.28896327201796795</v>
      </c>
    </row>
    <row r="15" spans="1:79" x14ac:dyDescent="0.25">
      <c r="A15">
        <v>1835</v>
      </c>
      <c r="B15" t="s">
        <v>118</v>
      </c>
      <c r="C15">
        <v>30.476830669999998</v>
      </c>
      <c r="D15">
        <v>-0.76923032099999999</v>
      </c>
      <c r="E15">
        <v>0.33579565300000003</v>
      </c>
      <c r="F15">
        <v>-2.2907691460000001</v>
      </c>
      <c r="G15">
        <v>2.1976769E-2</v>
      </c>
      <c r="H15">
        <f>G15/(72/81)</f>
        <v>2.4723865125000001E-2</v>
      </c>
      <c r="I15" t="s">
        <v>480</v>
      </c>
      <c r="J15" t="s">
        <v>119</v>
      </c>
      <c r="K15">
        <v>146</v>
      </c>
      <c r="L15">
        <v>4348</v>
      </c>
      <c r="M15" s="6">
        <v>8.4540000000000006</v>
      </c>
      <c r="N15">
        <v>313</v>
      </c>
      <c r="O15">
        <v>1</v>
      </c>
      <c r="P15" t="s">
        <v>36</v>
      </c>
      <c r="Q15" t="s">
        <v>120</v>
      </c>
      <c r="R15">
        <v>3627</v>
      </c>
      <c r="S15">
        <v>1.7000000000000001E-2</v>
      </c>
      <c r="T15">
        <v>21</v>
      </c>
      <c r="U15" t="s">
        <v>90</v>
      </c>
      <c r="V15">
        <v>-1</v>
      </c>
      <c r="W15">
        <v>10</v>
      </c>
      <c r="X15">
        <v>31</v>
      </c>
      <c r="Y15">
        <v>125</v>
      </c>
      <c r="Z15">
        <v>4031</v>
      </c>
      <c r="AA15">
        <v>109</v>
      </c>
      <c r="AB15">
        <v>42</v>
      </c>
      <c r="AC15">
        <v>0</v>
      </c>
      <c r="AD15">
        <v>4348</v>
      </c>
      <c r="AE15">
        <v>1</v>
      </c>
      <c r="AF15">
        <v>81</v>
      </c>
      <c r="AG15">
        <v>196</v>
      </c>
      <c r="AH15">
        <v>56</v>
      </c>
      <c r="AI15">
        <v>0</v>
      </c>
      <c r="AJ15">
        <v>26</v>
      </c>
      <c r="AK15">
        <v>88</v>
      </c>
      <c r="AL15">
        <v>92</v>
      </c>
      <c r="AM15">
        <v>17</v>
      </c>
      <c r="AN15">
        <v>49</v>
      </c>
      <c r="AO15">
        <v>62</v>
      </c>
      <c r="AP15">
        <v>69</v>
      </c>
      <c r="AQ15">
        <v>0</v>
      </c>
      <c r="AR15">
        <v>109</v>
      </c>
      <c r="AS15">
        <v>10</v>
      </c>
      <c r="AT15">
        <v>1</v>
      </c>
      <c r="AU15">
        <v>9</v>
      </c>
      <c r="AV15">
        <v>15</v>
      </c>
      <c r="AW15">
        <v>57</v>
      </c>
      <c r="AX15">
        <v>34</v>
      </c>
      <c r="AY15">
        <v>2</v>
      </c>
      <c r="AZ15">
        <v>32</v>
      </c>
      <c r="BA15">
        <v>27</v>
      </c>
      <c r="BB15">
        <v>4</v>
      </c>
      <c r="BC15" s="3">
        <f t="shared" si="23"/>
        <v>11.268449973998051</v>
      </c>
      <c r="BD15" s="3">
        <f t="shared" si="0"/>
        <v>233.04852501862231</v>
      </c>
      <c r="BE15" s="3">
        <f t="shared" si="1"/>
        <v>621.231210529235</v>
      </c>
      <c r="BF15" s="3">
        <f t="shared" si="2"/>
        <v>427.22197385706681</v>
      </c>
      <c r="BG15" s="3">
        <f t="shared" si="3"/>
        <v>0</v>
      </c>
      <c r="BH15" s="3">
        <f t="shared" si="4"/>
        <v>191.19052871534672</v>
      </c>
      <c r="BI15" s="3">
        <f t="shared" si="5"/>
        <v>317.65856757644565</v>
      </c>
      <c r="BJ15" s="3">
        <f t="shared" si="6"/>
        <v>345.89528509008971</v>
      </c>
      <c r="BK15" s="3">
        <f t="shared" si="7"/>
        <v>66.014174796603527</v>
      </c>
      <c r="BL15" s="3">
        <f t="shared" si="8"/>
        <v>168.22760714596541</v>
      </c>
      <c r="BM15" s="3">
        <f t="shared" si="9"/>
        <v>222.34323591531805</v>
      </c>
      <c r="BN15" s="3">
        <f t="shared" si="10"/>
        <v>212.50074105783793</v>
      </c>
      <c r="BO15" s="3">
        <f t="shared" si="11"/>
        <v>0</v>
      </c>
      <c r="BP15" s="3">
        <f t="shared" si="12"/>
        <v>203.05355285968329</v>
      </c>
      <c r="BQ15" s="3">
        <f t="shared" si="13"/>
        <v>50.112452343057825</v>
      </c>
      <c r="BR15" s="3">
        <f t="shared" si="14"/>
        <v>4.6420341765124213</v>
      </c>
      <c r="BS15" s="3">
        <f t="shared" si="15"/>
        <v>53.378424262984822</v>
      </c>
      <c r="BT15" s="3">
        <f t="shared" si="16"/>
        <v>75.304720551712506</v>
      </c>
      <c r="BU15" s="3">
        <f t="shared" si="17"/>
        <v>294.53969904243593</v>
      </c>
      <c r="BV15" s="3">
        <f t="shared" si="18"/>
        <v>80.988845215786441</v>
      </c>
      <c r="BW15" s="3">
        <f t="shared" si="19"/>
        <v>9.1402310239092444</v>
      </c>
      <c r="BX15" s="3">
        <f t="shared" si="20"/>
        <v>94.528484534106028</v>
      </c>
      <c r="BY15" s="3">
        <f t="shared" si="21"/>
        <v>204.15400470764013</v>
      </c>
      <c r="BZ15" s="3">
        <f t="shared" si="22"/>
        <v>120.35685808421971</v>
      </c>
      <c r="CA15" s="9">
        <f t="shared" si="24"/>
        <v>0.62477281421967312</v>
      </c>
    </row>
    <row r="16" spans="1:79" x14ac:dyDescent="0.25">
      <c r="A16">
        <v>19656</v>
      </c>
      <c r="B16" t="s">
        <v>121</v>
      </c>
      <c r="C16">
        <v>140.21553249999999</v>
      </c>
      <c r="D16" s="5">
        <v>0.68011859600000002</v>
      </c>
      <c r="E16">
        <v>0.30225366999999997</v>
      </c>
      <c r="F16">
        <v>2.250158275</v>
      </c>
      <c r="G16">
        <v>2.44389E-2</v>
      </c>
      <c r="H16">
        <f>G16/(71/81)</f>
        <v>2.7880998591549296E-2</v>
      </c>
      <c r="I16" t="s">
        <v>122</v>
      </c>
      <c r="J16" t="s">
        <v>123</v>
      </c>
      <c r="K16">
        <v>207</v>
      </c>
      <c r="L16">
        <v>7832522</v>
      </c>
      <c r="M16" s="6">
        <v>15229.200999999999</v>
      </c>
      <c r="N16">
        <v>311040</v>
      </c>
      <c r="O16">
        <v>0.94799999999999995</v>
      </c>
      <c r="P16" t="s">
        <v>36</v>
      </c>
      <c r="Q16" t="s">
        <v>124</v>
      </c>
      <c r="R16">
        <v>6686433</v>
      </c>
      <c r="S16">
        <v>0</v>
      </c>
      <c r="T16">
        <v>21</v>
      </c>
      <c r="U16" t="s">
        <v>43</v>
      </c>
      <c r="V16">
        <v>-1</v>
      </c>
      <c r="W16">
        <v>2985</v>
      </c>
      <c r="X16">
        <v>244</v>
      </c>
      <c r="Y16">
        <v>139280</v>
      </c>
      <c r="Z16">
        <v>7182448</v>
      </c>
      <c r="AA16">
        <v>193383</v>
      </c>
      <c r="AB16">
        <v>8317</v>
      </c>
      <c r="AC16">
        <v>305865</v>
      </c>
      <c r="AD16">
        <v>7832522</v>
      </c>
      <c r="AE16">
        <v>13</v>
      </c>
      <c r="AF16">
        <v>141</v>
      </c>
      <c r="AG16">
        <v>151</v>
      </c>
      <c r="AH16">
        <v>25</v>
      </c>
      <c r="AI16">
        <v>13</v>
      </c>
      <c r="AJ16">
        <v>152</v>
      </c>
      <c r="AK16">
        <v>433</v>
      </c>
      <c r="AL16">
        <v>280</v>
      </c>
      <c r="AM16">
        <v>160</v>
      </c>
      <c r="AN16">
        <v>53</v>
      </c>
      <c r="AO16">
        <v>69</v>
      </c>
      <c r="AP16">
        <v>287</v>
      </c>
      <c r="AQ16">
        <v>82</v>
      </c>
      <c r="AR16">
        <v>1001</v>
      </c>
      <c r="AS16">
        <v>92</v>
      </c>
      <c r="AT16">
        <v>108</v>
      </c>
      <c r="AU16">
        <v>38</v>
      </c>
      <c r="AV16">
        <v>46</v>
      </c>
      <c r="AW16">
        <v>270</v>
      </c>
      <c r="AX16">
        <v>521</v>
      </c>
      <c r="AY16">
        <v>71</v>
      </c>
      <c r="AZ16">
        <v>168</v>
      </c>
      <c r="BA16">
        <v>211</v>
      </c>
      <c r="BB16">
        <v>59</v>
      </c>
      <c r="BC16" s="3">
        <f t="shared" si="23"/>
        <v>146.48984966197466</v>
      </c>
      <c r="BD16" s="3">
        <f t="shared" si="0"/>
        <v>405.67706206945365</v>
      </c>
      <c r="BE16" s="3">
        <f t="shared" si="1"/>
        <v>478.60159586691071</v>
      </c>
      <c r="BF16" s="3">
        <f t="shared" si="2"/>
        <v>190.72409547190483</v>
      </c>
      <c r="BG16" s="3">
        <f t="shared" si="3"/>
        <v>195.10511287956388</v>
      </c>
      <c r="BH16" s="3">
        <f t="shared" si="4"/>
        <v>1117.7292447974116</v>
      </c>
      <c r="BI16" s="3">
        <f t="shared" si="5"/>
        <v>1563.0245427341019</v>
      </c>
      <c r="BJ16" s="3">
        <f t="shared" si="6"/>
        <v>1052.7247807089689</v>
      </c>
      <c r="BK16" s="3">
        <f t="shared" si="7"/>
        <v>621.30988043862146</v>
      </c>
      <c r="BL16" s="3">
        <f t="shared" si="8"/>
        <v>181.96047303543199</v>
      </c>
      <c r="BM16" s="3">
        <f t="shared" si="9"/>
        <v>247.44650448640238</v>
      </c>
      <c r="BN16" s="3">
        <f t="shared" si="10"/>
        <v>883.87989396520993</v>
      </c>
      <c r="BO16" s="3">
        <f t="shared" si="11"/>
        <v>400.31361154152961</v>
      </c>
      <c r="BP16" s="3">
        <f t="shared" si="12"/>
        <v>1864.7395083719539</v>
      </c>
      <c r="BQ16" s="3">
        <f t="shared" si="13"/>
        <v>461.03456155613196</v>
      </c>
      <c r="BR16" s="3">
        <f t="shared" si="14"/>
        <v>501.33969106334149</v>
      </c>
      <c r="BS16" s="3">
        <f t="shared" si="15"/>
        <v>225.37556911038035</v>
      </c>
      <c r="BT16" s="3">
        <f t="shared" si="16"/>
        <v>230.93447635858502</v>
      </c>
      <c r="BU16" s="3">
        <f t="shared" si="17"/>
        <v>1395.1880480957493</v>
      </c>
      <c r="BV16" s="3">
        <f t="shared" si="18"/>
        <v>1241.0349516889628</v>
      </c>
      <c r="BW16" s="3">
        <f t="shared" si="19"/>
        <v>324.47820134877821</v>
      </c>
      <c r="BX16" s="3">
        <f t="shared" si="20"/>
        <v>496.27454380405663</v>
      </c>
      <c r="BY16" s="3">
        <f t="shared" si="21"/>
        <v>1595.4257404930395</v>
      </c>
      <c r="BZ16" s="3">
        <f t="shared" si="22"/>
        <v>1775.2636567422405</v>
      </c>
      <c r="CA16" s="9">
        <f t="shared" si="24"/>
        <v>1.8159927851597928</v>
      </c>
    </row>
    <row r="17" spans="1:79" x14ac:dyDescent="0.25">
      <c r="A17">
        <v>4558</v>
      </c>
      <c r="B17" t="s">
        <v>125</v>
      </c>
      <c r="C17">
        <v>71.853480529999999</v>
      </c>
      <c r="D17">
        <v>0.59436945299999999</v>
      </c>
      <c r="E17">
        <v>0.264181045</v>
      </c>
      <c r="F17">
        <v>2.2498565450000001</v>
      </c>
      <c r="G17">
        <v>2.4458053E-2</v>
      </c>
      <c r="H17">
        <f>G17/(70/81)</f>
        <v>2.830146132857143E-2</v>
      </c>
      <c r="I17" t="s">
        <v>151</v>
      </c>
      <c r="J17" t="s">
        <v>126</v>
      </c>
      <c r="K17">
        <v>1300</v>
      </c>
      <c r="L17">
        <v>17099</v>
      </c>
      <c r="M17" s="6">
        <v>33.247</v>
      </c>
      <c r="N17">
        <v>1059</v>
      </c>
      <c r="O17">
        <v>0.46300000000000002</v>
      </c>
      <c r="P17" t="s">
        <v>47</v>
      </c>
      <c r="Q17" t="s">
        <v>127</v>
      </c>
      <c r="R17">
        <v>3558</v>
      </c>
      <c r="S17">
        <v>7.2999999999999995E-2</v>
      </c>
      <c r="T17">
        <v>21</v>
      </c>
      <c r="U17" t="s">
        <v>49</v>
      </c>
      <c r="V17">
        <v>98.4</v>
      </c>
      <c r="W17">
        <v>205</v>
      </c>
      <c r="X17">
        <v>64</v>
      </c>
      <c r="Y17">
        <v>324</v>
      </c>
      <c r="Z17">
        <v>15210</v>
      </c>
      <c r="AA17">
        <v>941</v>
      </c>
      <c r="AB17">
        <v>115</v>
      </c>
      <c r="AC17">
        <v>240</v>
      </c>
      <c r="AD17">
        <v>17099</v>
      </c>
      <c r="AE17">
        <v>32</v>
      </c>
      <c r="AF17">
        <v>107</v>
      </c>
      <c r="AG17">
        <v>101</v>
      </c>
      <c r="AH17">
        <v>22</v>
      </c>
      <c r="AI17">
        <v>13</v>
      </c>
      <c r="AJ17">
        <v>73</v>
      </c>
      <c r="AK17">
        <v>170</v>
      </c>
      <c r="AL17">
        <v>121</v>
      </c>
      <c r="AM17">
        <v>107</v>
      </c>
      <c r="AN17">
        <v>85</v>
      </c>
      <c r="AO17">
        <v>62</v>
      </c>
      <c r="AP17">
        <v>203</v>
      </c>
      <c r="AQ17">
        <v>30</v>
      </c>
      <c r="AR17">
        <v>244</v>
      </c>
      <c r="AS17">
        <v>75</v>
      </c>
      <c r="AT17">
        <v>53</v>
      </c>
      <c r="AU17">
        <v>33</v>
      </c>
      <c r="AV17">
        <v>41</v>
      </c>
      <c r="AW17">
        <v>36</v>
      </c>
      <c r="AX17">
        <v>53</v>
      </c>
      <c r="AY17">
        <v>161</v>
      </c>
      <c r="AZ17">
        <v>273</v>
      </c>
      <c r="BA17">
        <v>80</v>
      </c>
      <c r="BB17">
        <v>12</v>
      </c>
      <c r="BC17" s="3">
        <f t="shared" si="23"/>
        <v>360.59039916793762</v>
      </c>
      <c r="BD17" s="3">
        <f t="shared" si="0"/>
        <v>307.85422440731588</v>
      </c>
      <c r="BE17" s="3">
        <f t="shared" si="1"/>
        <v>320.12424624210587</v>
      </c>
      <c r="BF17" s="3">
        <f t="shared" si="2"/>
        <v>167.83720401527626</v>
      </c>
      <c r="BG17" s="3">
        <f t="shared" si="3"/>
        <v>195.10511287956388</v>
      </c>
      <c r="BH17" s="3">
        <f t="shared" si="4"/>
        <v>536.80417677770424</v>
      </c>
      <c r="BI17" s="3">
        <f t="shared" si="5"/>
        <v>613.65859645449723</v>
      </c>
      <c r="BJ17" s="3">
        <f t="shared" si="6"/>
        <v>454.92749452066153</v>
      </c>
      <c r="BK17" s="3">
        <f t="shared" si="7"/>
        <v>415.50098254332812</v>
      </c>
      <c r="BL17" s="3">
        <f t="shared" si="8"/>
        <v>291.82340015116449</v>
      </c>
      <c r="BM17" s="3">
        <f t="shared" si="9"/>
        <v>222.34323591531805</v>
      </c>
      <c r="BN17" s="3">
        <f t="shared" si="10"/>
        <v>625.18333963392899</v>
      </c>
      <c r="BO17" s="3">
        <f t="shared" si="11"/>
        <v>146.45619934446205</v>
      </c>
      <c r="BP17" s="3">
        <f t="shared" si="12"/>
        <v>454.54189814461216</v>
      </c>
      <c r="BQ17" s="3">
        <f t="shared" si="13"/>
        <v>375.84339257293362</v>
      </c>
      <c r="BR17" s="3">
        <f t="shared" si="14"/>
        <v>246.02781135515832</v>
      </c>
      <c r="BS17" s="3">
        <f t="shared" si="15"/>
        <v>195.72088896427766</v>
      </c>
      <c r="BT17" s="3">
        <f t="shared" si="16"/>
        <v>205.8329028413475</v>
      </c>
      <c r="BU17" s="3">
        <f t="shared" si="17"/>
        <v>186.02507307943324</v>
      </c>
      <c r="BV17" s="3">
        <f t="shared" si="18"/>
        <v>126.24731754225533</v>
      </c>
      <c r="BW17" s="3">
        <f t="shared" si="19"/>
        <v>735.7885974246941</v>
      </c>
      <c r="BX17" s="3">
        <f t="shared" si="20"/>
        <v>806.44613368159196</v>
      </c>
      <c r="BY17" s="3">
        <f t="shared" si="21"/>
        <v>604.90075468930411</v>
      </c>
      <c r="BZ17" s="3">
        <f t="shared" si="22"/>
        <v>361.07057425265918</v>
      </c>
      <c r="CA17" s="9">
        <f t="shared" si="24"/>
        <v>1.6150179121704624</v>
      </c>
    </row>
    <row r="18" spans="1:79" x14ac:dyDescent="0.25">
      <c r="A18">
        <v>533</v>
      </c>
      <c r="B18" t="s">
        <v>128</v>
      </c>
      <c r="C18">
        <v>8.4130612350000007</v>
      </c>
      <c r="D18">
        <v>0.78736919100000002</v>
      </c>
      <c r="E18">
        <v>0.39077919300000002</v>
      </c>
      <c r="F18">
        <v>2.014869789</v>
      </c>
      <c r="G18">
        <v>4.3918293999999997E-2</v>
      </c>
      <c r="H18">
        <f>G18/(68/81)</f>
        <v>5.2314438441176468E-2</v>
      </c>
      <c r="I18" t="s">
        <v>129</v>
      </c>
      <c r="J18" t="s">
        <v>130</v>
      </c>
      <c r="K18">
        <v>157</v>
      </c>
      <c r="L18">
        <v>55613</v>
      </c>
      <c r="M18" s="6">
        <v>108.131</v>
      </c>
      <c r="N18">
        <v>55099</v>
      </c>
      <c r="O18">
        <v>5.8000000000000003E-2</v>
      </c>
      <c r="P18" t="s">
        <v>88</v>
      </c>
      <c r="Q18" t="s">
        <v>131</v>
      </c>
      <c r="R18">
        <v>27887</v>
      </c>
      <c r="S18">
        <v>8.0000000000000002E-3</v>
      </c>
      <c r="T18">
        <v>21</v>
      </c>
      <c r="U18" t="s">
        <v>43</v>
      </c>
      <c r="V18">
        <v>-1</v>
      </c>
      <c r="W18">
        <v>175</v>
      </c>
      <c r="X18">
        <v>106</v>
      </c>
      <c r="Y18">
        <v>882</v>
      </c>
      <c r="Z18">
        <v>32318</v>
      </c>
      <c r="AA18">
        <v>20085</v>
      </c>
      <c r="AB18">
        <v>1689</v>
      </c>
      <c r="AC18">
        <v>358</v>
      </c>
      <c r="AD18">
        <v>55613</v>
      </c>
      <c r="AE18">
        <v>6</v>
      </c>
      <c r="AF18">
        <v>9</v>
      </c>
      <c r="AG18">
        <v>10</v>
      </c>
      <c r="AH18">
        <v>0</v>
      </c>
      <c r="AI18">
        <v>2</v>
      </c>
      <c r="AJ18">
        <v>12</v>
      </c>
      <c r="AK18">
        <v>6</v>
      </c>
      <c r="AL18">
        <v>10</v>
      </c>
      <c r="AM18">
        <v>23</v>
      </c>
      <c r="AN18">
        <v>3</v>
      </c>
      <c r="AO18">
        <v>2</v>
      </c>
      <c r="AP18">
        <v>0</v>
      </c>
      <c r="AQ18">
        <v>10</v>
      </c>
      <c r="AR18">
        <v>26</v>
      </c>
      <c r="AS18">
        <v>0</v>
      </c>
      <c r="AT18">
        <v>4</v>
      </c>
      <c r="AU18">
        <v>17</v>
      </c>
      <c r="AV18">
        <v>7</v>
      </c>
      <c r="AW18">
        <v>0</v>
      </c>
      <c r="AX18">
        <v>0</v>
      </c>
      <c r="AY18">
        <v>43</v>
      </c>
      <c r="AZ18">
        <v>63</v>
      </c>
      <c r="BA18">
        <v>0</v>
      </c>
      <c r="BB18">
        <v>0</v>
      </c>
      <c r="BC18" s="3">
        <f t="shared" si="23"/>
        <v>67.610699843988314</v>
      </c>
      <c r="BD18" s="3">
        <f t="shared" si="0"/>
        <v>25.8942805576247</v>
      </c>
      <c r="BE18" s="3">
        <f t="shared" si="1"/>
        <v>31.695469924960975</v>
      </c>
      <c r="BF18" s="3">
        <f t="shared" si="2"/>
        <v>0</v>
      </c>
      <c r="BG18" s="3">
        <f t="shared" si="3"/>
        <v>30.016171212240597</v>
      </c>
      <c r="BH18" s="3">
        <f t="shared" si="4"/>
        <v>88.241782484006166</v>
      </c>
      <c r="BI18" s="3">
        <f t="shared" si="5"/>
        <v>21.658538698394018</v>
      </c>
      <c r="BJ18" s="3">
        <f t="shared" si="6"/>
        <v>37.597313596748883</v>
      </c>
      <c r="BK18" s="3">
        <f t="shared" si="7"/>
        <v>89.313295313051839</v>
      </c>
      <c r="BL18" s="3">
        <f t="shared" si="8"/>
        <v>10.299649417099925</v>
      </c>
      <c r="BM18" s="3">
        <f t="shared" si="9"/>
        <v>7.1723624488812279</v>
      </c>
      <c r="BN18" s="3">
        <f t="shared" si="10"/>
        <v>0</v>
      </c>
      <c r="BO18" s="3">
        <f t="shared" si="11"/>
        <v>48.818733114820688</v>
      </c>
      <c r="BP18" s="3">
        <f t="shared" si="12"/>
        <v>48.434792425245561</v>
      </c>
      <c r="BQ18" s="3">
        <f t="shared" si="13"/>
        <v>0</v>
      </c>
      <c r="BR18" s="3">
        <f t="shared" si="14"/>
        <v>18.568136706049685</v>
      </c>
      <c r="BS18" s="3">
        <f t="shared" si="15"/>
        <v>100.82591249674911</v>
      </c>
      <c r="BT18" s="3">
        <f t="shared" si="16"/>
        <v>35.142202924132498</v>
      </c>
      <c r="BU18" s="3">
        <f t="shared" si="17"/>
        <v>0</v>
      </c>
      <c r="BV18" s="3">
        <f t="shared" si="18"/>
        <v>0</v>
      </c>
      <c r="BW18" s="3">
        <f t="shared" si="19"/>
        <v>196.51496701404875</v>
      </c>
      <c r="BX18" s="3">
        <f t="shared" si="20"/>
        <v>186.10295392652125</v>
      </c>
      <c r="BY18" s="3">
        <f t="shared" si="21"/>
        <v>0</v>
      </c>
      <c r="BZ18" s="3">
        <f t="shared" si="22"/>
        <v>0</v>
      </c>
      <c r="CA18" s="9">
        <f t="shared" si="24"/>
        <v>1.8370601287654353</v>
      </c>
    </row>
    <row r="19" spans="1:79" x14ac:dyDescent="0.25">
      <c r="A19">
        <v>14791</v>
      </c>
      <c r="B19" t="s">
        <v>132</v>
      </c>
      <c r="C19">
        <v>186.1300947</v>
      </c>
      <c r="D19">
        <v>0.67662210199999995</v>
      </c>
      <c r="E19">
        <v>0.33885497199999998</v>
      </c>
      <c r="F19">
        <v>1.9967896510000001</v>
      </c>
      <c r="G19">
        <v>4.5848038000000001E-2</v>
      </c>
      <c r="H19">
        <f>G19/(67/81)</f>
        <v>5.5428225044776118E-2</v>
      </c>
      <c r="I19" t="s">
        <v>133</v>
      </c>
      <c r="J19" t="s">
        <v>134</v>
      </c>
      <c r="K19">
        <v>214</v>
      </c>
      <c r="L19">
        <v>48131</v>
      </c>
      <c r="M19" s="6">
        <v>93.584000000000003</v>
      </c>
      <c r="N19">
        <v>12089</v>
      </c>
      <c r="O19">
        <v>5.8999999999999997E-2</v>
      </c>
      <c r="P19" t="s">
        <v>88</v>
      </c>
      <c r="Q19" t="s">
        <v>135</v>
      </c>
      <c r="R19">
        <v>13421</v>
      </c>
      <c r="S19">
        <v>1.4999999999999999E-2</v>
      </c>
      <c r="T19">
        <v>21</v>
      </c>
      <c r="U19" t="s">
        <v>43</v>
      </c>
      <c r="V19">
        <v>-1</v>
      </c>
      <c r="W19">
        <v>491</v>
      </c>
      <c r="X19">
        <v>19</v>
      </c>
      <c r="Y19">
        <v>18948</v>
      </c>
      <c r="Z19">
        <v>21220</v>
      </c>
      <c r="AA19">
        <v>5761</v>
      </c>
      <c r="AB19">
        <v>1548</v>
      </c>
      <c r="AC19">
        <v>144</v>
      </c>
      <c r="AD19">
        <v>48131</v>
      </c>
      <c r="AE19">
        <v>134</v>
      </c>
      <c r="AF19">
        <v>207</v>
      </c>
      <c r="AG19">
        <v>100</v>
      </c>
      <c r="AH19">
        <v>34</v>
      </c>
      <c r="AI19">
        <v>123</v>
      </c>
      <c r="AJ19">
        <v>363</v>
      </c>
      <c r="AK19">
        <v>1120</v>
      </c>
      <c r="AL19">
        <v>230</v>
      </c>
      <c r="AM19">
        <v>319</v>
      </c>
      <c r="AN19">
        <v>52</v>
      </c>
      <c r="AO19">
        <v>80</v>
      </c>
      <c r="AP19">
        <v>383</v>
      </c>
      <c r="AQ19">
        <v>50</v>
      </c>
      <c r="AR19">
        <v>437</v>
      </c>
      <c r="AS19">
        <v>165</v>
      </c>
      <c r="AT19">
        <v>176</v>
      </c>
      <c r="AU19">
        <v>107</v>
      </c>
      <c r="AV19">
        <v>56</v>
      </c>
      <c r="AW19">
        <v>34</v>
      </c>
      <c r="AX19">
        <v>435</v>
      </c>
      <c r="AY19">
        <v>318</v>
      </c>
      <c r="AZ19">
        <v>199</v>
      </c>
      <c r="BA19">
        <v>26</v>
      </c>
      <c r="BB19">
        <v>11</v>
      </c>
      <c r="BC19" s="3">
        <f t="shared" si="23"/>
        <v>1509.9722965157389</v>
      </c>
      <c r="BD19" s="3">
        <f t="shared" si="0"/>
        <v>595.56845282536813</v>
      </c>
      <c r="BE19" s="3">
        <f t="shared" si="1"/>
        <v>316.9546992496098</v>
      </c>
      <c r="BF19" s="3">
        <f t="shared" si="2"/>
        <v>259.38476984179056</v>
      </c>
      <c r="BG19" s="3">
        <f t="shared" si="3"/>
        <v>1845.9945295527964</v>
      </c>
      <c r="BH19" s="3">
        <f t="shared" si="4"/>
        <v>2669.3139201411868</v>
      </c>
      <c r="BI19" s="3">
        <f t="shared" si="5"/>
        <v>4042.9272237002169</v>
      </c>
      <c r="BJ19" s="3">
        <f t="shared" si="6"/>
        <v>864.73821272522434</v>
      </c>
      <c r="BK19" s="3">
        <f t="shared" si="7"/>
        <v>1238.7365741245014</v>
      </c>
      <c r="BL19" s="3">
        <f t="shared" si="8"/>
        <v>178.52725656306535</v>
      </c>
      <c r="BM19" s="3">
        <f t="shared" si="9"/>
        <v>286.89449795524911</v>
      </c>
      <c r="BN19" s="3">
        <f t="shared" si="10"/>
        <v>1179.5330989152453</v>
      </c>
      <c r="BO19" s="3">
        <f t="shared" si="11"/>
        <v>244.09366557410343</v>
      </c>
      <c r="BP19" s="3">
        <f t="shared" si="12"/>
        <v>814.07708807047334</v>
      </c>
      <c r="BQ19" s="3">
        <f t="shared" si="13"/>
        <v>826.85546366045412</v>
      </c>
      <c r="BR19" s="3">
        <f t="shared" si="14"/>
        <v>816.9980150661861</v>
      </c>
      <c r="BS19" s="3">
        <f t="shared" si="15"/>
        <v>634.61015512659731</v>
      </c>
      <c r="BT19" s="3">
        <f t="shared" si="16"/>
        <v>281.13762339305998</v>
      </c>
      <c r="BU19" s="3">
        <f t="shared" si="17"/>
        <v>175.69034679724248</v>
      </c>
      <c r="BV19" s="3">
        <f t="shared" si="18"/>
        <v>1036.1808137902087</v>
      </c>
      <c r="BW19" s="3">
        <f t="shared" si="19"/>
        <v>1453.29673280157</v>
      </c>
      <c r="BX19" s="3">
        <f t="shared" si="20"/>
        <v>587.8490131964719</v>
      </c>
      <c r="BY19" s="3">
        <f t="shared" si="21"/>
        <v>196.59274527402383</v>
      </c>
      <c r="BZ19" s="3">
        <f t="shared" si="22"/>
        <v>330.98135973160419</v>
      </c>
      <c r="CA19" s="9">
        <f t="shared" si="24"/>
        <v>1.9099641178729165</v>
      </c>
    </row>
    <row r="22" spans="1:79" ht="15.75" thickBot="1" x14ac:dyDescent="0.3"/>
    <row r="23" spans="1:79" ht="31.5" customHeight="1" thickBot="1" x14ac:dyDescent="0.3">
      <c r="A23" s="59" t="s">
        <v>593</v>
      </c>
      <c r="B23" s="60"/>
      <c r="C23" s="60"/>
      <c r="D23" s="60"/>
      <c r="E23" s="60"/>
      <c r="F23" s="60"/>
      <c r="G23" s="60"/>
      <c r="H23" s="60"/>
      <c r="I23" s="61"/>
    </row>
    <row r="24" spans="1:79" ht="48" customHeight="1" x14ac:dyDescent="0.25">
      <c r="A24" s="73" t="s">
        <v>503</v>
      </c>
      <c r="B24" s="73" t="s">
        <v>504</v>
      </c>
      <c r="C24" s="75" t="s">
        <v>505</v>
      </c>
      <c r="D24" s="73" t="s">
        <v>506</v>
      </c>
      <c r="E24" s="73" t="s">
        <v>507</v>
      </c>
      <c r="F24" s="73" t="s">
        <v>532</v>
      </c>
      <c r="G24" s="73" t="s">
        <v>533</v>
      </c>
      <c r="H24" s="73" t="s">
        <v>534</v>
      </c>
      <c r="I24" s="73" t="s">
        <v>511</v>
      </c>
    </row>
    <row r="25" spans="1:79" ht="15.75" thickBot="1" x14ac:dyDescent="0.3">
      <c r="A25" s="74"/>
      <c r="B25" s="74"/>
      <c r="C25" s="76"/>
      <c r="D25" s="74"/>
      <c r="E25" s="74"/>
      <c r="F25" s="74"/>
      <c r="G25" s="74"/>
      <c r="H25" s="74"/>
      <c r="I25" s="74"/>
    </row>
    <row r="26" spans="1:79" ht="86.25" customHeight="1" x14ac:dyDescent="0.25">
      <c r="A26" s="56" t="s">
        <v>535</v>
      </c>
      <c r="B26" s="56">
        <v>1.46</v>
      </c>
      <c r="C26" s="56">
        <v>1E-4</v>
      </c>
      <c r="D26" s="56" t="s">
        <v>536</v>
      </c>
      <c r="E26" s="56" t="s">
        <v>521</v>
      </c>
      <c r="F26" s="56" t="s">
        <v>516</v>
      </c>
      <c r="G26" s="56"/>
      <c r="H26" s="56"/>
      <c r="I26" s="56" t="s">
        <v>537</v>
      </c>
    </row>
    <row r="27" spans="1:79" ht="15.75" thickBot="1" x14ac:dyDescent="0.3">
      <c r="A27" s="58"/>
      <c r="B27" s="58"/>
      <c r="C27" s="58"/>
      <c r="D27" s="58"/>
      <c r="E27" s="58"/>
      <c r="F27" s="58"/>
      <c r="G27" s="58"/>
      <c r="H27" s="58"/>
      <c r="I27" s="58"/>
    </row>
    <row r="28" spans="1:79" ht="37.5" customHeight="1" x14ac:dyDescent="0.25">
      <c r="A28" s="56" t="s">
        <v>538</v>
      </c>
      <c r="B28" s="56">
        <v>1.28</v>
      </c>
      <c r="C28" s="56">
        <v>2.0000000000000001E-4</v>
      </c>
      <c r="D28" s="56" t="s">
        <v>539</v>
      </c>
      <c r="E28" s="56" t="s">
        <v>540</v>
      </c>
      <c r="F28" s="56" t="s">
        <v>516</v>
      </c>
      <c r="G28" s="56"/>
      <c r="H28" s="28">
        <v>121.3</v>
      </c>
      <c r="I28" s="56" t="s">
        <v>542</v>
      </c>
    </row>
    <row r="29" spans="1:79" ht="39" thickBot="1" x14ac:dyDescent="0.3">
      <c r="A29" s="58"/>
      <c r="B29" s="58"/>
      <c r="C29" s="58"/>
      <c r="D29" s="58"/>
      <c r="E29" s="58"/>
      <c r="F29" s="58"/>
      <c r="G29" s="58"/>
      <c r="H29" s="29" t="s">
        <v>541</v>
      </c>
      <c r="I29" s="58"/>
    </row>
    <row r="30" spans="1:79" ht="25.5" x14ac:dyDescent="0.25">
      <c r="A30" s="56" t="s">
        <v>543</v>
      </c>
      <c r="B30" s="56">
        <v>1.01</v>
      </c>
      <c r="C30" s="56">
        <v>2.0000000000000001E-4</v>
      </c>
      <c r="D30" s="28"/>
      <c r="E30" s="56" t="s">
        <v>521</v>
      </c>
      <c r="F30" s="56" t="s">
        <v>516</v>
      </c>
      <c r="G30" s="56"/>
      <c r="H30" s="56"/>
      <c r="I30" s="28" t="s">
        <v>545</v>
      </c>
    </row>
    <row r="31" spans="1:79" x14ac:dyDescent="0.25">
      <c r="A31" s="57"/>
      <c r="B31" s="57"/>
      <c r="C31" s="57"/>
      <c r="D31" s="28"/>
      <c r="E31" s="57"/>
      <c r="F31" s="57"/>
      <c r="G31" s="57"/>
      <c r="H31" s="57"/>
      <c r="I31" s="28"/>
    </row>
    <row r="32" spans="1:79" ht="89.25" x14ac:dyDescent="0.25">
      <c r="A32" s="57"/>
      <c r="B32" s="57"/>
      <c r="C32" s="57"/>
      <c r="D32" s="28" t="s">
        <v>544</v>
      </c>
      <c r="E32" s="57"/>
      <c r="F32" s="57"/>
      <c r="G32" s="57"/>
      <c r="H32" s="57"/>
      <c r="I32" s="28" t="s">
        <v>522</v>
      </c>
    </row>
    <row r="33" spans="1:9" ht="25.5" x14ac:dyDescent="0.25">
      <c r="A33" s="57"/>
      <c r="B33" s="57"/>
      <c r="C33" s="57"/>
      <c r="D33" s="36"/>
      <c r="E33" s="57"/>
      <c r="F33" s="57"/>
      <c r="G33" s="57"/>
      <c r="H33" s="57"/>
      <c r="I33" s="28" t="s">
        <v>546</v>
      </c>
    </row>
    <row r="34" spans="1:9" ht="26.25" thickBot="1" x14ac:dyDescent="0.3">
      <c r="A34" s="58"/>
      <c r="B34" s="58"/>
      <c r="C34" s="58"/>
      <c r="D34" s="34"/>
      <c r="E34" s="58"/>
      <c r="F34" s="58"/>
      <c r="G34" s="58"/>
      <c r="H34" s="58"/>
      <c r="I34" s="29" t="s">
        <v>547</v>
      </c>
    </row>
    <row r="35" spans="1:9" ht="60.75" customHeight="1" x14ac:dyDescent="0.25">
      <c r="A35" s="56" t="s">
        <v>548</v>
      </c>
      <c r="B35" s="56">
        <v>0.94</v>
      </c>
      <c r="C35" s="56">
        <v>2.0000000000000001E-4</v>
      </c>
      <c r="D35" s="56" t="s">
        <v>549</v>
      </c>
      <c r="E35" s="56" t="s">
        <v>550</v>
      </c>
      <c r="F35" s="56" t="s">
        <v>551</v>
      </c>
      <c r="G35" s="56"/>
      <c r="H35" s="28">
        <v>373.3</v>
      </c>
      <c r="I35" s="28" t="s">
        <v>553</v>
      </c>
    </row>
    <row r="36" spans="1:9" ht="25.5" x14ac:dyDescent="0.25">
      <c r="A36" s="57"/>
      <c r="B36" s="57"/>
      <c r="C36" s="57"/>
      <c r="D36" s="57"/>
      <c r="E36" s="57"/>
      <c r="F36" s="57"/>
      <c r="G36" s="57"/>
      <c r="H36" s="28" t="s">
        <v>552</v>
      </c>
      <c r="I36" s="28" t="s">
        <v>554</v>
      </c>
    </row>
    <row r="37" spans="1:9" ht="15.75" thickBot="1" x14ac:dyDescent="0.3">
      <c r="A37" s="58"/>
      <c r="B37" s="58"/>
      <c r="C37" s="58"/>
      <c r="D37" s="58"/>
      <c r="E37" s="58"/>
      <c r="F37" s="58"/>
      <c r="G37" s="58"/>
      <c r="H37" s="34"/>
      <c r="I37" s="29" t="s">
        <v>555</v>
      </c>
    </row>
    <row r="38" spans="1:9" ht="63.75" x14ac:dyDescent="0.25">
      <c r="A38" s="56" t="s">
        <v>556</v>
      </c>
      <c r="B38" s="56">
        <v>0.74</v>
      </c>
      <c r="C38" s="56">
        <v>6.0000000000000001E-3</v>
      </c>
      <c r="D38" s="28" t="s">
        <v>557</v>
      </c>
      <c r="E38" s="56" t="s">
        <v>521</v>
      </c>
      <c r="F38" s="56" t="s">
        <v>516</v>
      </c>
      <c r="G38" s="56"/>
      <c r="H38" s="56"/>
      <c r="I38" s="56" t="s">
        <v>559</v>
      </c>
    </row>
    <row r="39" spans="1:9" ht="39" thickBot="1" x14ac:dyDescent="0.3">
      <c r="A39" s="58"/>
      <c r="B39" s="58"/>
      <c r="C39" s="58"/>
      <c r="D39" s="29" t="s">
        <v>558</v>
      </c>
      <c r="E39" s="58"/>
      <c r="F39" s="58"/>
      <c r="G39" s="58"/>
      <c r="H39" s="58"/>
      <c r="I39" s="58"/>
    </row>
    <row r="40" spans="1:9" ht="45.75" customHeight="1" x14ac:dyDescent="0.25">
      <c r="A40" s="27" t="s">
        <v>115</v>
      </c>
      <c r="B40" s="56">
        <v>-0.97</v>
      </c>
      <c r="C40" s="56">
        <v>0.02</v>
      </c>
      <c r="D40" s="56" t="s">
        <v>561</v>
      </c>
      <c r="E40" s="28"/>
      <c r="F40" s="28"/>
      <c r="G40" s="56"/>
      <c r="H40" s="56"/>
      <c r="I40" s="28"/>
    </row>
    <row r="41" spans="1:9" ht="51" x14ac:dyDescent="0.25">
      <c r="A41" s="27" t="s">
        <v>560</v>
      </c>
      <c r="B41" s="57"/>
      <c r="C41" s="57"/>
      <c r="D41" s="57"/>
      <c r="E41" s="28"/>
      <c r="F41" s="28"/>
      <c r="G41" s="57"/>
      <c r="H41" s="57"/>
      <c r="I41" s="28"/>
    </row>
    <row r="42" spans="1:9" x14ac:dyDescent="0.25">
      <c r="A42" s="27"/>
      <c r="B42" s="57"/>
      <c r="C42" s="57"/>
      <c r="D42" s="57"/>
      <c r="E42" s="28"/>
      <c r="F42" s="28"/>
      <c r="G42" s="57"/>
      <c r="H42" s="57"/>
      <c r="I42" s="28"/>
    </row>
    <row r="43" spans="1:9" ht="25.5" x14ac:dyDescent="0.25">
      <c r="A43" s="37"/>
      <c r="B43" s="57"/>
      <c r="C43" s="57"/>
      <c r="D43" s="57"/>
      <c r="E43" s="28" t="s">
        <v>562</v>
      </c>
      <c r="F43" s="28" t="s">
        <v>563</v>
      </c>
      <c r="G43" s="57"/>
      <c r="H43" s="57"/>
      <c r="I43" s="28" t="s">
        <v>547</v>
      </c>
    </row>
    <row r="44" spans="1:9" ht="15.75" thickBot="1" x14ac:dyDescent="0.3">
      <c r="A44" s="33"/>
      <c r="B44" s="58"/>
      <c r="C44" s="58"/>
      <c r="D44" s="58"/>
      <c r="E44" s="34"/>
      <c r="F44" s="34"/>
      <c r="G44" s="58"/>
      <c r="H44" s="58"/>
      <c r="I44" s="29" t="s">
        <v>523</v>
      </c>
    </row>
    <row r="45" spans="1:9" ht="56.25" customHeight="1" x14ac:dyDescent="0.25">
      <c r="A45" s="56" t="s">
        <v>564</v>
      </c>
      <c r="B45" s="56">
        <v>-0.77</v>
      </c>
      <c r="C45" s="56">
        <v>2.5000000000000001E-2</v>
      </c>
      <c r="D45" s="56" t="s">
        <v>565</v>
      </c>
      <c r="E45" s="56" t="s">
        <v>566</v>
      </c>
      <c r="F45" s="56" t="s">
        <v>516</v>
      </c>
      <c r="G45" s="56"/>
      <c r="H45" s="56"/>
      <c r="I45" s="28" t="s">
        <v>567</v>
      </c>
    </row>
    <row r="46" spans="1:9" ht="25.5" x14ac:dyDescent="0.25">
      <c r="A46" s="57"/>
      <c r="B46" s="57"/>
      <c r="C46" s="57"/>
      <c r="D46" s="57"/>
      <c r="E46" s="57"/>
      <c r="F46" s="57"/>
      <c r="G46" s="57"/>
      <c r="H46" s="57"/>
      <c r="I46" s="28" t="s">
        <v>568</v>
      </c>
    </row>
    <row r="47" spans="1:9" x14ac:dyDescent="0.25">
      <c r="A47" s="57"/>
      <c r="B47" s="57"/>
      <c r="C47" s="57"/>
      <c r="D47" s="57"/>
      <c r="E47" s="57"/>
      <c r="F47" s="57"/>
      <c r="G47" s="57"/>
      <c r="H47" s="57"/>
      <c r="I47" s="36"/>
    </row>
    <row r="48" spans="1:9" x14ac:dyDescent="0.25">
      <c r="A48" s="57"/>
      <c r="B48" s="57"/>
      <c r="C48" s="57"/>
      <c r="D48" s="57"/>
      <c r="E48" s="57"/>
      <c r="F48" s="57"/>
      <c r="G48" s="57"/>
      <c r="H48" s="57"/>
      <c r="I48" s="36"/>
    </row>
    <row r="49" spans="1:9" ht="15.75" thickBot="1" x14ac:dyDescent="0.3">
      <c r="A49" s="58"/>
      <c r="B49" s="58"/>
      <c r="C49" s="58"/>
      <c r="D49" s="58"/>
      <c r="E49" s="58"/>
      <c r="F49" s="58"/>
      <c r="G49" s="58"/>
      <c r="H49" s="58"/>
      <c r="I49" s="34"/>
    </row>
    <row r="50" spans="1:9" ht="60.75" customHeight="1" x14ac:dyDescent="0.25">
      <c r="A50" s="56" t="s">
        <v>122</v>
      </c>
      <c r="B50" s="56">
        <v>0.68</v>
      </c>
      <c r="C50" s="56">
        <v>2.8000000000000001E-2</v>
      </c>
      <c r="D50" s="56" t="s">
        <v>569</v>
      </c>
      <c r="E50" s="56" t="s">
        <v>566</v>
      </c>
      <c r="F50" s="56" t="s">
        <v>516</v>
      </c>
      <c r="G50" s="56"/>
      <c r="H50" s="56"/>
      <c r="I50" s="56" t="s">
        <v>570</v>
      </c>
    </row>
    <row r="51" spans="1:9" ht="15.75" thickBot="1" x14ac:dyDescent="0.3">
      <c r="A51" s="58"/>
      <c r="B51" s="58"/>
      <c r="C51" s="58"/>
      <c r="D51" s="58"/>
      <c r="E51" s="58"/>
      <c r="F51" s="58"/>
      <c r="G51" s="58"/>
      <c r="H51" s="58"/>
      <c r="I51" s="58"/>
    </row>
    <row r="52" spans="1:9" ht="60.75" customHeight="1" x14ac:dyDescent="0.25">
      <c r="A52" s="56" t="s">
        <v>129</v>
      </c>
      <c r="B52" s="56">
        <v>0.79</v>
      </c>
      <c r="C52" s="56">
        <v>0.05</v>
      </c>
      <c r="D52" s="56" t="s">
        <v>571</v>
      </c>
      <c r="E52" s="56" t="s">
        <v>572</v>
      </c>
      <c r="F52" s="56" t="s">
        <v>516</v>
      </c>
      <c r="G52" s="56"/>
      <c r="H52" s="56">
        <v>121.3</v>
      </c>
      <c r="I52" s="56" t="s">
        <v>573</v>
      </c>
    </row>
    <row r="53" spans="1:9" ht="15.75" thickBot="1" x14ac:dyDescent="0.3">
      <c r="A53" s="58"/>
      <c r="B53" s="58"/>
      <c r="C53" s="58"/>
      <c r="D53" s="58"/>
      <c r="E53" s="58"/>
      <c r="F53" s="58"/>
      <c r="G53" s="58"/>
      <c r="H53" s="58"/>
      <c r="I53" s="58"/>
    </row>
    <row r="54" spans="1:9" x14ac:dyDescent="0.25">
      <c r="A54" s="56" t="s">
        <v>133</v>
      </c>
      <c r="B54" s="56">
        <v>0.68</v>
      </c>
      <c r="C54" s="56">
        <v>5.5E-2</v>
      </c>
      <c r="D54" s="56" t="s">
        <v>574</v>
      </c>
      <c r="E54" s="56" t="s">
        <v>566</v>
      </c>
      <c r="F54" s="56" t="s">
        <v>516</v>
      </c>
      <c r="G54" s="56"/>
      <c r="H54" s="56"/>
      <c r="I54" s="56" t="s">
        <v>547</v>
      </c>
    </row>
    <row r="55" spans="1:9" x14ac:dyDescent="0.25">
      <c r="A55" s="57"/>
      <c r="B55" s="57"/>
      <c r="C55" s="57"/>
      <c r="D55" s="57"/>
      <c r="E55" s="57"/>
      <c r="F55" s="57"/>
      <c r="G55" s="57"/>
      <c r="H55" s="57"/>
      <c r="I55" s="57"/>
    </row>
    <row r="56" spans="1:9" x14ac:dyDescent="0.25">
      <c r="A56" s="57"/>
      <c r="B56" s="57"/>
      <c r="C56" s="57"/>
      <c r="D56" s="57"/>
      <c r="E56" s="57"/>
      <c r="F56" s="57"/>
      <c r="G56" s="57"/>
      <c r="H56" s="57"/>
      <c r="I56" s="57"/>
    </row>
    <row r="57" spans="1:9" x14ac:dyDescent="0.25">
      <c r="A57" s="57"/>
      <c r="B57" s="57"/>
      <c r="C57" s="57"/>
      <c r="D57" s="57"/>
      <c r="E57" s="57"/>
      <c r="F57" s="57"/>
      <c r="G57" s="57"/>
      <c r="H57" s="57"/>
      <c r="I57" s="57"/>
    </row>
    <row r="58" spans="1:9" ht="15.75" thickBot="1" x14ac:dyDescent="0.3">
      <c r="A58" s="58"/>
      <c r="B58" s="58"/>
      <c r="C58" s="58"/>
      <c r="D58" s="58"/>
      <c r="E58" s="58"/>
      <c r="F58" s="58"/>
      <c r="G58" s="58"/>
      <c r="H58" s="58"/>
      <c r="I58" s="58"/>
    </row>
    <row r="59" spans="1:9" ht="51" x14ac:dyDescent="0.25">
      <c r="A59" s="56" t="s">
        <v>575</v>
      </c>
      <c r="B59" s="56">
        <v>-0.48</v>
      </c>
      <c r="C59" s="56" t="s">
        <v>157</v>
      </c>
      <c r="D59" s="56"/>
      <c r="E59" s="56" t="s">
        <v>576</v>
      </c>
      <c r="F59" s="56" t="s">
        <v>516</v>
      </c>
      <c r="G59" s="28" t="s">
        <v>577</v>
      </c>
      <c r="H59" s="77">
        <v>7566</v>
      </c>
      <c r="I59" s="56" t="s">
        <v>579</v>
      </c>
    </row>
    <row r="60" spans="1:9" ht="26.25" thickBot="1" x14ac:dyDescent="0.3">
      <c r="A60" s="58"/>
      <c r="B60" s="58"/>
      <c r="C60" s="58"/>
      <c r="D60" s="58"/>
      <c r="E60" s="58"/>
      <c r="F60" s="58"/>
      <c r="G60" s="29" t="s">
        <v>578</v>
      </c>
      <c r="H60" s="78"/>
      <c r="I60" s="58"/>
    </row>
    <row r="61" spans="1:9" ht="158.25" customHeight="1" x14ac:dyDescent="0.25">
      <c r="A61" s="56" t="s">
        <v>57</v>
      </c>
      <c r="B61" s="56" t="s">
        <v>580</v>
      </c>
      <c r="C61" s="56">
        <v>1.7999999999999999E-2</v>
      </c>
      <c r="D61" s="56" t="s">
        <v>581</v>
      </c>
      <c r="E61" s="56" t="s">
        <v>582</v>
      </c>
      <c r="F61" s="56" t="s">
        <v>516</v>
      </c>
      <c r="G61" s="79" t="s">
        <v>583</v>
      </c>
      <c r="H61" s="81">
        <v>2456.3000000000002</v>
      </c>
      <c r="I61" s="28" t="s">
        <v>523</v>
      </c>
    </row>
    <row r="62" spans="1:9" ht="39" thickBot="1" x14ac:dyDescent="0.3">
      <c r="A62" s="58"/>
      <c r="B62" s="58"/>
      <c r="C62" s="58"/>
      <c r="D62" s="58"/>
      <c r="E62" s="58"/>
      <c r="F62" s="58"/>
      <c r="G62" s="80"/>
      <c r="H62" s="82"/>
      <c r="I62" s="29" t="s">
        <v>584</v>
      </c>
    </row>
    <row r="63" spans="1:9" ht="25.5" x14ac:dyDescent="0.25">
      <c r="A63" s="56" t="s">
        <v>585</v>
      </c>
      <c r="B63" s="56" t="s">
        <v>586</v>
      </c>
      <c r="C63" s="56">
        <v>2.8000000000000001E-2</v>
      </c>
      <c r="D63" s="83"/>
      <c r="E63" s="56"/>
      <c r="F63" s="56" t="s">
        <v>413</v>
      </c>
      <c r="G63" s="28" t="s">
        <v>587</v>
      </c>
      <c r="H63" s="56">
        <v>98.4</v>
      </c>
      <c r="I63" s="56" t="s">
        <v>523</v>
      </c>
    </row>
    <row r="64" spans="1:9" ht="25.5" x14ac:dyDescent="0.25">
      <c r="A64" s="57"/>
      <c r="B64" s="57"/>
      <c r="C64" s="57"/>
      <c r="D64" s="84"/>
      <c r="E64" s="57"/>
      <c r="F64" s="57"/>
      <c r="G64" s="28" t="s">
        <v>588</v>
      </c>
      <c r="H64" s="57"/>
      <c r="I64" s="57"/>
    </row>
    <row r="65" spans="1:9" ht="77.25" thickBot="1" x14ac:dyDescent="0.3">
      <c r="A65" s="58"/>
      <c r="B65" s="58"/>
      <c r="C65" s="58"/>
      <c r="D65" s="85"/>
      <c r="E65" s="58"/>
      <c r="F65" s="58"/>
      <c r="G65" s="29" t="s">
        <v>589</v>
      </c>
      <c r="H65" s="58"/>
      <c r="I65" s="58"/>
    </row>
    <row r="66" spans="1:9" ht="25.5" customHeight="1" x14ac:dyDescent="0.25">
      <c r="A66" s="64" t="s">
        <v>590</v>
      </c>
      <c r="B66" s="65"/>
      <c r="C66" s="65"/>
      <c r="D66" s="65"/>
      <c r="E66" s="65"/>
      <c r="F66" s="65"/>
      <c r="G66" s="65"/>
      <c r="H66" s="65"/>
      <c r="I66" s="66"/>
    </row>
    <row r="67" spans="1:9" ht="51" customHeight="1" x14ac:dyDescent="0.25">
      <c r="A67" s="67" t="s">
        <v>591</v>
      </c>
      <c r="B67" s="68"/>
      <c r="C67" s="68"/>
      <c r="D67" s="68"/>
      <c r="E67" s="68"/>
      <c r="F67" s="68"/>
      <c r="G67" s="68"/>
      <c r="H67" s="68"/>
      <c r="I67" s="69"/>
    </row>
    <row r="68" spans="1:9" ht="15.75" thickBot="1" x14ac:dyDescent="0.3">
      <c r="A68" s="70" t="s">
        <v>592</v>
      </c>
      <c r="B68" s="71"/>
      <c r="C68" s="71"/>
      <c r="D68" s="71"/>
      <c r="E68" s="71"/>
      <c r="F68" s="71"/>
      <c r="G68" s="71"/>
      <c r="H68" s="71"/>
      <c r="I68" s="72"/>
    </row>
  </sheetData>
  <mergeCells count="116">
    <mergeCell ref="I63:I65"/>
    <mergeCell ref="A66:I66"/>
    <mergeCell ref="A67:I67"/>
    <mergeCell ref="A68:I68"/>
    <mergeCell ref="A63:A65"/>
    <mergeCell ref="B63:B65"/>
    <mergeCell ref="C63:C65"/>
    <mergeCell ref="D63:D65"/>
    <mergeCell ref="E63:E65"/>
    <mergeCell ref="F63:F65"/>
    <mergeCell ref="A61:A62"/>
    <mergeCell ref="B61:B62"/>
    <mergeCell ref="C61:C62"/>
    <mergeCell ref="D61:D62"/>
    <mergeCell ref="E61:E62"/>
    <mergeCell ref="F61:F62"/>
    <mergeCell ref="G61:G62"/>
    <mergeCell ref="H61:H62"/>
    <mergeCell ref="H63:H65"/>
    <mergeCell ref="G54:G58"/>
    <mergeCell ref="H54:H58"/>
    <mergeCell ref="I54:I58"/>
    <mergeCell ref="A59:A60"/>
    <mergeCell ref="B59:B60"/>
    <mergeCell ref="C59:C60"/>
    <mergeCell ref="D59:D60"/>
    <mergeCell ref="E59:E60"/>
    <mergeCell ref="F59:F60"/>
    <mergeCell ref="H59:H60"/>
    <mergeCell ref="A54:A58"/>
    <mergeCell ref="B54:B58"/>
    <mergeCell ref="C54:C58"/>
    <mergeCell ref="D54:D58"/>
    <mergeCell ref="E54:E58"/>
    <mergeCell ref="F54:F58"/>
    <mergeCell ref="I59:I60"/>
    <mergeCell ref="I50:I51"/>
    <mergeCell ref="A52:A53"/>
    <mergeCell ref="B52:B53"/>
    <mergeCell ref="C52:C53"/>
    <mergeCell ref="D52:D53"/>
    <mergeCell ref="E52:E53"/>
    <mergeCell ref="F52:F53"/>
    <mergeCell ref="G52:G53"/>
    <mergeCell ref="H52:H53"/>
    <mergeCell ref="I52:I53"/>
    <mergeCell ref="G45:G49"/>
    <mergeCell ref="H45:H49"/>
    <mergeCell ref="A50:A51"/>
    <mergeCell ref="B50:B51"/>
    <mergeCell ref="C50:C51"/>
    <mergeCell ref="D50:D51"/>
    <mergeCell ref="E50:E51"/>
    <mergeCell ref="F50:F51"/>
    <mergeCell ref="G50:G51"/>
    <mergeCell ref="H50:H51"/>
    <mergeCell ref="A45:A49"/>
    <mergeCell ref="B45:B49"/>
    <mergeCell ref="C45:C49"/>
    <mergeCell ref="D45:D49"/>
    <mergeCell ref="E45:E49"/>
    <mergeCell ref="F45:F49"/>
    <mergeCell ref="H38:H39"/>
    <mergeCell ref="I38:I39"/>
    <mergeCell ref="B40:B44"/>
    <mergeCell ref="C40:C44"/>
    <mergeCell ref="D40:D44"/>
    <mergeCell ref="G40:G44"/>
    <mergeCell ref="H40:H44"/>
    <mergeCell ref="G35:G37"/>
    <mergeCell ref="A38:A39"/>
    <mergeCell ref="B38:B39"/>
    <mergeCell ref="C38:C39"/>
    <mergeCell ref="E38:E39"/>
    <mergeCell ref="F38:F39"/>
    <mergeCell ref="G38:G39"/>
    <mergeCell ref="A35:A37"/>
    <mergeCell ref="B35:B37"/>
    <mergeCell ref="C35:C37"/>
    <mergeCell ref="D35:D37"/>
    <mergeCell ref="E35:E37"/>
    <mergeCell ref="F35:F37"/>
    <mergeCell ref="I28:I29"/>
    <mergeCell ref="A30:A34"/>
    <mergeCell ref="B30:B34"/>
    <mergeCell ref="C30:C34"/>
    <mergeCell ref="E30:E34"/>
    <mergeCell ref="F30:F34"/>
    <mergeCell ref="G30:G34"/>
    <mergeCell ref="H30:H34"/>
    <mergeCell ref="G26:G27"/>
    <mergeCell ref="H26:H27"/>
    <mergeCell ref="I26:I27"/>
    <mergeCell ref="A28:A29"/>
    <mergeCell ref="B28:B29"/>
    <mergeCell ref="C28:C29"/>
    <mergeCell ref="D28:D29"/>
    <mergeCell ref="E28:E29"/>
    <mergeCell ref="F28:F29"/>
    <mergeCell ref="G28:G29"/>
    <mergeCell ref="A26:A27"/>
    <mergeCell ref="B26:B27"/>
    <mergeCell ref="C26:C27"/>
    <mergeCell ref="D26:D27"/>
    <mergeCell ref="E26:E27"/>
    <mergeCell ref="F26:F27"/>
    <mergeCell ref="A23:I23"/>
    <mergeCell ref="A24:A25"/>
    <mergeCell ref="B24:B25"/>
    <mergeCell ref="C24:C25"/>
    <mergeCell ref="D24:D25"/>
    <mergeCell ref="E24:E25"/>
    <mergeCell ref="F24:F25"/>
    <mergeCell ref="G24:G25"/>
    <mergeCell ref="H24:H25"/>
    <mergeCell ref="I24:I2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111"/>
  <sheetViews>
    <sheetView topLeftCell="A97" workbookViewId="0">
      <selection activeCell="A2" sqref="A2"/>
    </sheetView>
  </sheetViews>
  <sheetFormatPr defaultRowHeight="15" x14ac:dyDescent="0.25"/>
  <cols>
    <col min="2" max="2" width="13.42578125" customWidth="1"/>
    <col min="9" max="9" width="16.7109375" customWidth="1"/>
    <col min="55" max="55" width="6.42578125" customWidth="1"/>
    <col min="56" max="56" width="6.7109375" customWidth="1"/>
    <col min="57" max="57" width="6" customWidth="1"/>
    <col min="58" max="58" width="6.28515625" customWidth="1"/>
    <col min="59" max="61" width="6.7109375" customWidth="1"/>
    <col min="62" max="62" width="6.28515625" customWidth="1"/>
    <col min="63" max="63" width="6.85546875" customWidth="1"/>
    <col min="64" max="64" width="6.5703125" customWidth="1"/>
    <col min="65" max="65" width="7.140625" customWidth="1"/>
    <col min="66" max="66" width="7" customWidth="1"/>
    <col min="67" max="67" width="6.28515625" customWidth="1"/>
    <col min="68" max="68" width="6.5703125" customWidth="1"/>
    <col min="69" max="69" width="6.85546875" customWidth="1"/>
    <col min="70" max="70" width="6.7109375" customWidth="1"/>
    <col min="71" max="71" width="6.5703125" customWidth="1"/>
    <col min="72" max="72" width="6.85546875" customWidth="1"/>
    <col min="73" max="73" width="6.5703125" customWidth="1"/>
    <col min="74" max="74" width="6.85546875" customWidth="1"/>
    <col min="75" max="75" width="7.42578125" customWidth="1"/>
    <col min="76" max="76" width="6.42578125" customWidth="1"/>
    <col min="77" max="77" width="6.28515625" customWidth="1"/>
    <col min="78" max="78" width="6.85546875" customWidth="1"/>
    <col min="83" max="83" width="10.7109375" customWidth="1"/>
  </cols>
  <sheetData>
    <row r="1" spans="1:88" x14ac:dyDescent="0.25">
      <c r="A1" t="s">
        <v>743</v>
      </c>
      <c r="AE1" t="s">
        <v>149</v>
      </c>
      <c r="BC1" t="s">
        <v>150</v>
      </c>
    </row>
    <row r="2" spans="1:88" x14ac:dyDescent="0.25">
      <c r="AD2" t="s">
        <v>148</v>
      </c>
      <c r="AE2" t="s">
        <v>144</v>
      </c>
      <c r="AF2" t="s">
        <v>145</v>
      </c>
      <c r="AG2" t="s">
        <v>146</v>
      </c>
      <c r="AH2" t="s">
        <v>147</v>
      </c>
      <c r="AI2" t="s">
        <v>144</v>
      </c>
      <c r="AJ2" t="s">
        <v>145</v>
      </c>
      <c r="AK2" t="s">
        <v>146</v>
      </c>
      <c r="AL2" t="s">
        <v>147</v>
      </c>
      <c r="AM2" t="s">
        <v>144</v>
      </c>
      <c r="AN2" t="s">
        <v>145</v>
      </c>
      <c r="AO2" t="s">
        <v>146</v>
      </c>
      <c r="AP2" t="s">
        <v>147</v>
      </c>
      <c r="AQ2" t="s">
        <v>144</v>
      </c>
      <c r="AR2" t="s">
        <v>145</v>
      </c>
      <c r="AS2" t="s">
        <v>146</v>
      </c>
      <c r="AT2" t="s">
        <v>147</v>
      </c>
      <c r="AU2" t="s">
        <v>144</v>
      </c>
      <c r="AV2" t="s">
        <v>145</v>
      </c>
      <c r="AW2" t="s">
        <v>146</v>
      </c>
      <c r="AX2" t="s">
        <v>147</v>
      </c>
      <c r="AY2" t="s">
        <v>144</v>
      </c>
      <c r="AZ2" t="s">
        <v>145</v>
      </c>
      <c r="BA2" t="s">
        <v>146</v>
      </c>
      <c r="BB2" t="s">
        <v>147</v>
      </c>
      <c r="BC2" t="s">
        <v>144</v>
      </c>
      <c r="BD2" t="s">
        <v>145</v>
      </c>
      <c r="BE2" t="s">
        <v>146</v>
      </c>
      <c r="BF2" t="s">
        <v>147</v>
      </c>
      <c r="BG2" t="s">
        <v>144</v>
      </c>
      <c r="BH2" t="s">
        <v>145</v>
      </c>
      <c r="BI2" t="s">
        <v>146</v>
      </c>
      <c r="BJ2" t="s">
        <v>147</v>
      </c>
      <c r="BK2" t="s">
        <v>144</v>
      </c>
      <c r="BL2" t="s">
        <v>145</v>
      </c>
      <c r="BM2" t="s">
        <v>146</v>
      </c>
      <c r="BN2" t="s">
        <v>147</v>
      </c>
      <c r="BO2" t="s">
        <v>144</v>
      </c>
      <c r="BP2" t="s">
        <v>145</v>
      </c>
      <c r="BQ2" t="s">
        <v>146</v>
      </c>
      <c r="BR2" t="s">
        <v>147</v>
      </c>
      <c r="BS2" t="s">
        <v>144</v>
      </c>
      <c r="BT2" t="s">
        <v>145</v>
      </c>
      <c r="BU2" t="s">
        <v>146</v>
      </c>
      <c r="BV2" t="s">
        <v>147</v>
      </c>
      <c r="BW2" t="s">
        <v>144</v>
      </c>
      <c r="BX2" t="s">
        <v>145</v>
      </c>
      <c r="BY2" t="s">
        <v>146</v>
      </c>
      <c r="BZ2" t="s">
        <v>147</v>
      </c>
      <c r="CA2" t="s">
        <v>148</v>
      </c>
    </row>
    <row r="3" spans="1:88" x14ac:dyDescent="0.25">
      <c r="AD3" t="s">
        <v>140</v>
      </c>
      <c r="AE3" t="s">
        <v>141</v>
      </c>
      <c r="AF3" t="s">
        <v>141</v>
      </c>
      <c r="AG3" t="s">
        <v>141</v>
      </c>
      <c r="AH3" t="s">
        <v>141</v>
      </c>
      <c r="AI3" t="s">
        <v>141</v>
      </c>
      <c r="AJ3" t="s">
        <v>141</v>
      </c>
      <c r="AK3" t="s">
        <v>141</v>
      </c>
      <c r="AL3" t="s">
        <v>141</v>
      </c>
      <c r="AM3" t="s">
        <v>142</v>
      </c>
      <c r="AN3" t="s">
        <v>142</v>
      </c>
      <c r="AO3" t="s">
        <v>142</v>
      </c>
      <c r="AP3" t="s">
        <v>142</v>
      </c>
      <c r="AQ3" t="s">
        <v>142</v>
      </c>
      <c r="AR3" t="s">
        <v>142</v>
      </c>
      <c r="AS3" t="s">
        <v>142</v>
      </c>
      <c r="AT3" t="s">
        <v>142</v>
      </c>
      <c r="AU3" t="s">
        <v>143</v>
      </c>
      <c r="AV3" t="s">
        <v>143</v>
      </c>
      <c r="AW3" t="s">
        <v>143</v>
      </c>
      <c r="AX3" t="s">
        <v>143</v>
      </c>
      <c r="AY3" t="s">
        <v>143</v>
      </c>
      <c r="AZ3" t="s">
        <v>143</v>
      </c>
      <c r="BA3" t="s">
        <v>143</v>
      </c>
      <c r="BB3" t="s">
        <v>143</v>
      </c>
      <c r="BC3" s="1" t="s">
        <v>141</v>
      </c>
      <c r="BD3" s="1" t="s">
        <v>141</v>
      </c>
      <c r="BE3" s="1" t="s">
        <v>141</v>
      </c>
      <c r="BF3" s="1" t="s">
        <v>141</v>
      </c>
      <c r="BG3" s="12" t="s">
        <v>141</v>
      </c>
      <c r="BH3" s="12" t="s">
        <v>141</v>
      </c>
      <c r="BI3" s="12" t="s">
        <v>141</v>
      </c>
      <c r="BJ3" s="12" t="s">
        <v>141</v>
      </c>
      <c r="BK3" s="19" t="s">
        <v>142</v>
      </c>
      <c r="BL3" s="19" t="s">
        <v>142</v>
      </c>
      <c r="BM3" s="19" t="s">
        <v>142</v>
      </c>
      <c r="BN3" s="19" t="s">
        <v>142</v>
      </c>
      <c r="BO3" s="20" t="s">
        <v>142</v>
      </c>
      <c r="BP3" s="20" t="s">
        <v>142</v>
      </c>
      <c r="BQ3" s="20" t="s">
        <v>142</v>
      </c>
      <c r="BR3" s="20" t="s">
        <v>142</v>
      </c>
      <c r="BS3" t="s">
        <v>143</v>
      </c>
      <c r="BT3" t="s">
        <v>143</v>
      </c>
      <c r="BU3" t="s">
        <v>143</v>
      </c>
      <c r="BV3" t="s">
        <v>143</v>
      </c>
      <c r="BW3" t="s">
        <v>143</v>
      </c>
      <c r="BX3" t="s">
        <v>143</v>
      </c>
      <c r="BY3" t="s">
        <v>143</v>
      </c>
      <c r="BZ3" t="s">
        <v>143</v>
      </c>
      <c r="CA3" t="s">
        <v>140</v>
      </c>
    </row>
    <row r="4" spans="1:88" x14ac:dyDescent="0.25">
      <c r="H4" t="s">
        <v>458</v>
      </c>
      <c r="AD4" t="s">
        <v>139</v>
      </c>
      <c r="AE4" t="s">
        <v>137</v>
      </c>
      <c r="AF4" t="s">
        <v>137</v>
      </c>
      <c r="AG4" t="s">
        <v>137</v>
      </c>
      <c r="AH4" t="s">
        <v>137</v>
      </c>
      <c r="AI4" s="2" t="s">
        <v>138</v>
      </c>
      <c r="AJ4" s="2" t="s">
        <v>138</v>
      </c>
      <c r="AK4" s="2" t="s">
        <v>138</v>
      </c>
      <c r="AL4" s="2" t="s">
        <v>138</v>
      </c>
      <c r="AM4" t="s">
        <v>137</v>
      </c>
      <c r="AN4" t="s">
        <v>137</v>
      </c>
      <c r="AO4" t="s">
        <v>137</v>
      </c>
      <c r="AP4" t="s">
        <v>137</v>
      </c>
      <c r="AQ4" s="2" t="s">
        <v>138</v>
      </c>
      <c r="AR4" s="2" t="s">
        <v>138</v>
      </c>
      <c r="AS4" s="2" t="s">
        <v>138</v>
      </c>
      <c r="AT4" s="2" t="s">
        <v>138</v>
      </c>
      <c r="AU4" t="s">
        <v>137</v>
      </c>
      <c r="AV4" t="s">
        <v>137</v>
      </c>
      <c r="AW4" t="s">
        <v>137</v>
      </c>
      <c r="AX4" t="s">
        <v>137</v>
      </c>
      <c r="AY4" s="2" t="s">
        <v>138</v>
      </c>
      <c r="AZ4" s="2" t="s">
        <v>138</v>
      </c>
      <c r="BA4" s="2" t="s">
        <v>138</v>
      </c>
      <c r="BB4" s="2" t="s">
        <v>138</v>
      </c>
      <c r="BC4" s="1" t="s">
        <v>137</v>
      </c>
      <c r="BD4" s="1" t="s">
        <v>137</v>
      </c>
      <c r="BE4" s="1" t="s">
        <v>137</v>
      </c>
      <c r="BF4" s="1" t="s">
        <v>137</v>
      </c>
      <c r="BG4" s="4" t="s">
        <v>138</v>
      </c>
      <c r="BH4" s="4" t="s">
        <v>138</v>
      </c>
      <c r="BI4" s="4" t="s">
        <v>138</v>
      </c>
      <c r="BJ4" s="4" t="s">
        <v>138</v>
      </c>
      <c r="BK4" s="19" t="s">
        <v>137</v>
      </c>
      <c r="BL4" s="19" t="s">
        <v>137</v>
      </c>
      <c r="BM4" s="19" t="s">
        <v>137</v>
      </c>
      <c r="BN4" s="19" t="s">
        <v>137</v>
      </c>
      <c r="BO4" s="21" t="s">
        <v>138</v>
      </c>
      <c r="BP4" s="21" t="s">
        <v>138</v>
      </c>
      <c r="BQ4" s="21" t="s">
        <v>138</v>
      </c>
      <c r="BR4" s="21" t="s">
        <v>138</v>
      </c>
      <c r="BS4" s="5" t="s">
        <v>137</v>
      </c>
      <c r="BT4" s="5" t="s">
        <v>137</v>
      </c>
      <c r="BU4" s="5" t="s">
        <v>137</v>
      </c>
      <c r="BV4" s="5" t="s">
        <v>137</v>
      </c>
      <c r="BW4" s="16" t="s">
        <v>138</v>
      </c>
      <c r="BX4" s="16" t="s">
        <v>138</v>
      </c>
      <c r="BY4" s="16" t="s">
        <v>138</v>
      </c>
      <c r="BZ4" s="16" t="s">
        <v>138</v>
      </c>
      <c r="CA4" t="s">
        <v>139</v>
      </c>
    </row>
    <row r="5" spans="1:88" x14ac:dyDescent="0.25">
      <c r="AD5" t="s">
        <v>136</v>
      </c>
      <c r="AE5">
        <v>1774867</v>
      </c>
      <c r="AF5">
        <v>6951342</v>
      </c>
      <c r="AG5">
        <v>6310050</v>
      </c>
      <c r="AH5">
        <v>2621588</v>
      </c>
      <c r="AI5">
        <v>1332615</v>
      </c>
      <c r="AJ5">
        <v>2719800</v>
      </c>
      <c r="AK5">
        <v>5540540</v>
      </c>
      <c r="AL5">
        <v>5319529</v>
      </c>
      <c r="AM5">
        <v>5150409</v>
      </c>
      <c r="AN5">
        <v>5825441</v>
      </c>
      <c r="AO5">
        <v>5576963</v>
      </c>
      <c r="AP5">
        <v>6494095</v>
      </c>
      <c r="AQ5">
        <v>4096788</v>
      </c>
      <c r="AR5">
        <v>10736084</v>
      </c>
      <c r="AS5">
        <v>3991024</v>
      </c>
      <c r="AT5">
        <v>4308456</v>
      </c>
      <c r="AU5">
        <v>3372149</v>
      </c>
      <c r="AV5">
        <v>3983814</v>
      </c>
      <c r="AW5">
        <v>3870446</v>
      </c>
      <c r="AX5">
        <v>8396218</v>
      </c>
      <c r="AY5">
        <v>4376257</v>
      </c>
      <c r="AZ5">
        <v>6770446</v>
      </c>
      <c r="BA5">
        <v>2645062</v>
      </c>
      <c r="BB5">
        <v>664690</v>
      </c>
      <c r="CA5" t="s">
        <v>460</v>
      </c>
      <c r="CE5" t="s">
        <v>460</v>
      </c>
    </row>
    <row r="6" spans="1:88" x14ac:dyDescent="0.25">
      <c r="A6" t="s">
        <v>50</v>
      </c>
      <c r="B6" t="s">
        <v>1</v>
      </c>
      <c r="C6" t="s">
        <v>2</v>
      </c>
      <c r="D6" t="s">
        <v>3</v>
      </c>
      <c r="E6" t="s">
        <v>4</v>
      </c>
      <c r="F6" t="s">
        <v>5</v>
      </c>
      <c r="G6" t="s">
        <v>6</v>
      </c>
      <c r="H6" s="10" t="s">
        <v>454</v>
      </c>
      <c r="I6" t="s">
        <v>7</v>
      </c>
      <c r="J6" t="s">
        <v>8</v>
      </c>
      <c r="K6" t="s">
        <v>9</v>
      </c>
      <c r="L6" t="s">
        <v>10</v>
      </c>
      <c r="M6" t="s">
        <v>11</v>
      </c>
      <c r="N6" t="s">
        <v>12</v>
      </c>
      <c r="O6" t="s">
        <v>13</v>
      </c>
      <c r="P6" t="s">
        <v>14</v>
      </c>
      <c r="Q6" t="s">
        <v>15</v>
      </c>
      <c r="R6" t="s">
        <v>16</v>
      </c>
      <c r="S6" t="s">
        <v>17</v>
      </c>
      <c r="T6" t="s">
        <v>18</v>
      </c>
      <c r="U6" t="s">
        <v>19</v>
      </c>
      <c r="V6" t="s">
        <v>20</v>
      </c>
      <c r="W6" t="s">
        <v>21</v>
      </c>
      <c r="X6" t="s">
        <v>22</v>
      </c>
      <c r="Y6" t="s">
        <v>23</v>
      </c>
      <c r="Z6" t="s">
        <v>24</v>
      </c>
      <c r="AA6" t="s">
        <v>25</v>
      </c>
      <c r="AB6" t="s">
        <v>26</v>
      </c>
      <c r="AC6" t="s">
        <v>27</v>
      </c>
      <c r="AD6" t="s">
        <v>28</v>
      </c>
      <c r="AE6" t="s">
        <v>61</v>
      </c>
      <c r="AF6" t="s">
        <v>293</v>
      </c>
      <c r="AG6" t="s">
        <v>294</v>
      </c>
      <c r="AH6" t="s">
        <v>295</v>
      </c>
      <c r="AI6" t="s">
        <v>296</v>
      </c>
      <c r="AJ6" t="s">
        <v>297</v>
      </c>
      <c r="AK6" t="s">
        <v>298</v>
      </c>
      <c r="AL6" t="s">
        <v>299</v>
      </c>
      <c r="AM6" t="s">
        <v>300</v>
      </c>
      <c r="AN6" t="s">
        <v>301</v>
      </c>
      <c r="AO6" t="s">
        <v>302</v>
      </c>
      <c r="AP6" t="s">
        <v>303</v>
      </c>
      <c r="AQ6" t="s">
        <v>304</v>
      </c>
      <c r="AR6" t="s">
        <v>305</v>
      </c>
      <c r="AS6" t="s">
        <v>306</v>
      </c>
      <c r="AT6" t="s">
        <v>307</v>
      </c>
      <c r="AU6" t="s">
        <v>308</v>
      </c>
      <c r="AV6" t="s">
        <v>309</v>
      </c>
      <c r="AW6" t="s">
        <v>310</v>
      </c>
      <c r="AX6" t="s">
        <v>311</v>
      </c>
      <c r="AY6" t="s">
        <v>312</v>
      </c>
      <c r="AZ6" t="s">
        <v>313</v>
      </c>
      <c r="BA6" t="s">
        <v>314</v>
      </c>
      <c r="BB6" t="s">
        <v>315</v>
      </c>
      <c r="BC6" t="s">
        <v>61</v>
      </c>
      <c r="BD6" t="s">
        <v>293</v>
      </c>
      <c r="BE6" t="s">
        <v>294</v>
      </c>
      <c r="BF6" t="s">
        <v>295</v>
      </c>
      <c r="BG6" t="s">
        <v>296</v>
      </c>
      <c r="BH6" t="s">
        <v>297</v>
      </c>
      <c r="BI6" t="s">
        <v>298</v>
      </c>
      <c r="BJ6" t="s">
        <v>299</v>
      </c>
      <c r="BK6" t="s">
        <v>300</v>
      </c>
      <c r="BL6" t="s">
        <v>301</v>
      </c>
      <c r="BM6" t="s">
        <v>302</v>
      </c>
      <c r="BN6" t="s">
        <v>303</v>
      </c>
      <c r="BO6" t="s">
        <v>304</v>
      </c>
      <c r="BP6" t="s">
        <v>305</v>
      </c>
      <c r="BQ6" t="s">
        <v>306</v>
      </c>
      <c r="BR6" t="s">
        <v>307</v>
      </c>
      <c r="BS6" t="s">
        <v>308</v>
      </c>
      <c r="BT6" t="s">
        <v>309</v>
      </c>
      <c r="BU6" t="s">
        <v>310</v>
      </c>
      <c r="BV6" t="s">
        <v>311</v>
      </c>
      <c r="BW6" t="s">
        <v>312</v>
      </c>
      <c r="BX6" t="s">
        <v>313</v>
      </c>
      <c r="BY6" t="s">
        <v>314</v>
      </c>
      <c r="BZ6" t="s">
        <v>315</v>
      </c>
      <c r="CA6" t="s">
        <v>462</v>
      </c>
      <c r="CB6" t="s">
        <v>461</v>
      </c>
      <c r="CC6" t="s">
        <v>463</v>
      </c>
      <c r="CD6" t="s">
        <v>464</v>
      </c>
      <c r="CE6" t="s">
        <v>465</v>
      </c>
      <c r="CF6" t="s">
        <v>466</v>
      </c>
      <c r="CG6" t="s">
        <v>467</v>
      </c>
      <c r="CH6" t="s">
        <v>468</v>
      </c>
      <c r="CI6" t="s">
        <v>471</v>
      </c>
    </row>
    <row r="7" spans="1:88" x14ac:dyDescent="0.25">
      <c r="A7">
        <v>19863</v>
      </c>
      <c r="B7" t="s">
        <v>91</v>
      </c>
      <c r="C7">
        <v>8.7955236729999999</v>
      </c>
      <c r="D7">
        <v>2.0234127590000002</v>
      </c>
      <c r="E7">
        <v>0.44201626500000002</v>
      </c>
      <c r="F7">
        <v>4.5776884710000001</v>
      </c>
      <c r="G7" s="7">
        <v>4.6999999999999999E-6</v>
      </c>
      <c r="H7" s="8">
        <f>G7/(80/81)</f>
        <v>4.75875E-6</v>
      </c>
      <c r="I7" s="5" t="s">
        <v>92</v>
      </c>
      <c r="J7" t="s">
        <v>93</v>
      </c>
      <c r="K7">
        <v>90</v>
      </c>
      <c r="L7">
        <v>14317</v>
      </c>
      <c r="M7">
        <v>27.837</v>
      </c>
      <c r="N7">
        <v>14310</v>
      </c>
      <c r="O7">
        <v>0.53100000000000003</v>
      </c>
      <c r="P7" t="s">
        <v>47</v>
      </c>
      <c r="Q7" t="s">
        <v>94</v>
      </c>
      <c r="R7">
        <v>5538</v>
      </c>
      <c r="S7">
        <v>1.7000000000000001E-2</v>
      </c>
      <c r="T7">
        <v>21</v>
      </c>
      <c r="U7" t="s">
        <v>95</v>
      </c>
      <c r="V7">
        <v>63</v>
      </c>
      <c r="W7">
        <v>67</v>
      </c>
      <c r="X7">
        <v>0</v>
      </c>
      <c r="Y7">
        <v>491</v>
      </c>
      <c r="Z7">
        <v>9837</v>
      </c>
      <c r="AA7">
        <v>3850</v>
      </c>
      <c r="AB7">
        <v>59</v>
      </c>
      <c r="AC7">
        <v>13</v>
      </c>
      <c r="AD7">
        <v>14317</v>
      </c>
      <c r="AE7">
        <v>6</v>
      </c>
      <c r="AF7">
        <v>12</v>
      </c>
      <c r="AG7">
        <v>13</v>
      </c>
      <c r="AH7">
        <v>1</v>
      </c>
      <c r="AI7">
        <v>12</v>
      </c>
      <c r="AJ7">
        <v>25</v>
      </c>
      <c r="AK7">
        <v>17</v>
      </c>
      <c r="AL7">
        <v>33</v>
      </c>
      <c r="AM7">
        <v>4</v>
      </c>
      <c r="AN7">
        <v>6</v>
      </c>
      <c r="AO7">
        <v>0</v>
      </c>
      <c r="AP7">
        <v>2</v>
      </c>
      <c r="AQ7">
        <v>7</v>
      </c>
      <c r="AR7">
        <v>20</v>
      </c>
      <c r="AS7">
        <v>2</v>
      </c>
      <c r="AT7">
        <v>2</v>
      </c>
      <c r="AU7">
        <v>9</v>
      </c>
      <c r="AV7">
        <v>2</v>
      </c>
      <c r="AW7">
        <v>1</v>
      </c>
      <c r="AX7">
        <v>1</v>
      </c>
      <c r="AY7">
        <v>21</v>
      </c>
      <c r="AZ7">
        <v>23</v>
      </c>
      <c r="BA7">
        <v>1</v>
      </c>
      <c r="BB7">
        <v>0</v>
      </c>
      <c r="BC7" s="3">
        <f>AE7/AE$5*20000000</f>
        <v>67.610699843988314</v>
      </c>
      <c r="BD7" s="3">
        <f t="shared" ref="BD7:BD43" si="0">AF7/AF$5*20000000</f>
        <v>34.52570741016627</v>
      </c>
      <c r="BE7" s="3">
        <f t="shared" ref="BE7:BE43" si="1">AG7/AG$5*20000000</f>
        <v>41.204110902449273</v>
      </c>
      <c r="BF7" s="3">
        <f t="shared" ref="BF7:BF43" si="2">AH7/AH$5*20000000</f>
        <v>7.6289638188761932</v>
      </c>
      <c r="BG7" s="3">
        <f t="shared" ref="BG7:BG43" si="3">AI7/AI$5*20000000</f>
        <v>180.09702727344356</v>
      </c>
      <c r="BH7" s="3">
        <f t="shared" ref="BH7:BH43" si="4">AJ7/AJ$5*20000000</f>
        <v>183.83704684167955</v>
      </c>
      <c r="BI7" s="3">
        <f t="shared" ref="BI7:BI43" si="5">AK7/AK$5*20000000</f>
        <v>61.365859645449717</v>
      </c>
      <c r="BJ7" s="3">
        <f t="shared" ref="BJ7:BJ43" si="6">AL7/AL$5*20000000</f>
        <v>124.07113486927133</v>
      </c>
      <c r="BK7" s="3">
        <f t="shared" ref="BK7:BK43" si="7">AM7/AM$5*20000000</f>
        <v>15.532747010965538</v>
      </c>
      <c r="BL7" s="3">
        <f t="shared" ref="BL7:BL43" si="8">AN7/AN$5*20000000</f>
        <v>20.59929883419985</v>
      </c>
      <c r="BM7" s="3">
        <f t="shared" ref="BM7:BM43" si="9">AO7/AO$5*20000000</f>
        <v>0</v>
      </c>
      <c r="BN7" s="3">
        <f t="shared" ref="BN7:BN43" si="10">AP7/AP$5*20000000</f>
        <v>6.1594417697924033</v>
      </c>
      <c r="BO7" s="3">
        <f t="shared" ref="BO7:BO43" si="11">AQ7/AQ$5*20000000</f>
        <v>34.173113180374479</v>
      </c>
      <c r="BP7" s="3">
        <f t="shared" ref="BP7:BP43" si="12">AR7/AR$5*20000000</f>
        <v>37.257532634804271</v>
      </c>
      <c r="BQ7" s="3">
        <f t="shared" ref="BQ7:BQ43" si="13">AS7/AS$5*20000000</f>
        <v>10.022490468611565</v>
      </c>
      <c r="BR7" s="3">
        <f t="shared" ref="BR7:BR43" si="14">AT7/AT$5*20000000</f>
        <v>9.2840683530248427</v>
      </c>
      <c r="BS7" s="3">
        <f t="shared" ref="BS7:BS43" si="15">AU7/AU$5*20000000</f>
        <v>53.378424262984822</v>
      </c>
      <c r="BT7" s="3">
        <f t="shared" ref="BT7:BT43" si="16">AV7/AV$5*20000000</f>
        <v>10.040629406895002</v>
      </c>
      <c r="BU7" s="3">
        <f t="shared" ref="BU7:BU43" si="17">AW7/AW$5*20000000</f>
        <v>5.1673631410953673</v>
      </c>
      <c r="BV7" s="3">
        <f t="shared" ref="BV7:BV43" si="18">AX7/AX$5*20000000</f>
        <v>2.3820248592878368</v>
      </c>
      <c r="BW7" s="3">
        <f t="shared" ref="BW7:BW43" si="19">AY7/AY$5*20000000</f>
        <v>95.972425751047069</v>
      </c>
      <c r="BX7" s="3">
        <f t="shared" ref="BX7:BX43" si="20">AZ7/AZ$5*20000000</f>
        <v>67.9423482588887</v>
      </c>
      <c r="BY7" s="3">
        <f t="shared" ref="BY7:BY43" si="21">BA7/BA$5*20000000</f>
        <v>7.5612594336163008</v>
      </c>
      <c r="BZ7" s="3">
        <f t="shared" ref="BZ7:BZ43" si="22">BB7/BB$5*20000000</f>
        <v>0</v>
      </c>
      <c r="CA7" s="9">
        <f>BC7/BK7</f>
        <v>4.3527844621596996</v>
      </c>
      <c r="CB7" s="9">
        <f t="shared" ref="CB7:CH21" si="23">BD7/BL7</f>
        <v>1.6760622625098867</v>
      </c>
      <c r="CC7" s="9"/>
      <c r="CD7" s="9">
        <f t="shared" si="23"/>
        <v>1.2385803947836198</v>
      </c>
      <c r="CE7" s="9">
        <f t="shared" si="23"/>
        <v>5.2701381440679738</v>
      </c>
      <c r="CF7" s="9">
        <f t="shared" si="23"/>
        <v>4.9342249430105163</v>
      </c>
      <c r="CG7" s="9">
        <f t="shared" si="23"/>
        <v>6.1228154656405325</v>
      </c>
      <c r="CH7" s="9">
        <f>BJ7/BR7</f>
        <v>13.363875636358031</v>
      </c>
      <c r="CI7" s="9">
        <f>AVERAGE(CE7:CH7)/AVERAGE(CA7:CD7)</f>
        <v>3.0641230074672197</v>
      </c>
    </row>
    <row r="8" spans="1:88" x14ac:dyDescent="0.25">
      <c r="A8">
        <v>19140</v>
      </c>
      <c r="B8" t="s">
        <v>153</v>
      </c>
      <c r="C8">
        <v>35.766292989999997</v>
      </c>
      <c r="D8">
        <v>2.1029980479999999</v>
      </c>
      <c r="E8">
        <v>0.53810940399999996</v>
      </c>
      <c r="F8">
        <v>3.908123572</v>
      </c>
      <c r="G8" s="7">
        <v>9.2999999999999997E-5</v>
      </c>
      <c r="H8" s="10">
        <f>G8/(79/81)</f>
        <v>9.5354430379746837E-5</v>
      </c>
      <c r="I8" s="5" t="s">
        <v>154</v>
      </c>
      <c r="J8" t="s">
        <v>155</v>
      </c>
      <c r="K8">
        <v>180</v>
      </c>
      <c r="L8">
        <v>18869</v>
      </c>
      <c r="M8">
        <v>36.688000000000002</v>
      </c>
      <c r="N8">
        <v>18761</v>
      </c>
      <c r="O8">
        <v>0.998</v>
      </c>
      <c r="P8" t="s">
        <v>36</v>
      </c>
      <c r="Q8" t="s">
        <v>156</v>
      </c>
      <c r="R8">
        <v>16000</v>
      </c>
      <c r="S8">
        <v>8.9999999999999993E-3</v>
      </c>
      <c r="T8">
        <v>21</v>
      </c>
      <c r="U8" t="s">
        <v>43</v>
      </c>
      <c r="V8">
        <v>-1</v>
      </c>
      <c r="W8">
        <v>408</v>
      </c>
      <c r="X8">
        <v>13</v>
      </c>
      <c r="Y8">
        <v>384</v>
      </c>
      <c r="Z8">
        <v>17879</v>
      </c>
      <c r="AA8">
        <v>165</v>
      </c>
      <c r="AB8">
        <v>11</v>
      </c>
      <c r="AC8">
        <v>9</v>
      </c>
      <c r="AD8">
        <v>18869</v>
      </c>
      <c r="AE8">
        <v>4</v>
      </c>
      <c r="AF8">
        <v>162</v>
      </c>
      <c r="AG8">
        <v>116</v>
      </c>
      <c r="AH8">
        <v>42</v>
      </c>
      <c r="AI8">
        <v>1</v>
      </c>
      <c r="AJ8">
        <v>54</v>
      </c>
      <c r="AK8">
        <v>397</v>
      </c>
      <c r="AL8">
        <v>38</v>
      </c>
      <c r="AM8">
        <v>4</v>
      </c>
      <c r="AN8">
        <v>1</v>
      </c>
      <c r="AO8">
        <v>26</v>
      </c>
      <c r="AP8">
        <v>108</v>
      </c>
      <c r="AQ8">
        <v>0</v>
      </c>
      <c r="AR8">
        <v>6</v>
      </c>
      <c r="AS8">
        <v>3</v>
      </c>
      <c r="AT8">
        <v>0</v>
      </c>
      <c r="AU8">
        <v>6</v>
      </c>
      <c r="AV8">
        <v>10</v>
      </c>
      <c r="AW8">
        <v>18</v>
      </c>
      <c r="AX8">
        <v>55</v>
      </c>
      <c r="AY8">
        <v>15</v>
      </c>
      <c r="AZ8">
        <v>59</v>
      </c>
      <c r="BA8">
        <v>28</v>
      </c>
      <c r="BB8">
        <v>4</v>
      </c>
      <c r="BC8" s="3">
        <f t="shared" ref="BC8:BC43" si="24">AE8/AE$5*20000000</f>
        <v>45.073799895992202</v>
      </c>
      <c r="BD8" s="3">
        <f t="shared" si="0"/>
        <v>466.09705003724463</v>
      </c>
      <c r="BE8" s="3">
        <f t="shared" si="1"/>
        <v>367.66745112954726</v>
      </c>
      <c r="BF8" s="3">
        <f t="shared" si="2"/>
        <v>320.41648039280005</v>
      </c>
      <c r="BG8" s="3">
        <f t="shared" si="3"/>
        <v>15.008085606120298</v>
      </c>
      <c r="BH8" s="3">
        <f t="shared" si="4"/>
        <v>397.08802117802782</v>
      </c>
      <c r="BI8" s="3">
        <f t="shared" si="5"/>
        <v>1433.0733105437375</v>
      </c>
      <c r="BJ8" s="3">
        <f t="shared" si="6"/>
        <v>142.86979166764576</v>
      </c>
      <c r="BK8" s="3">
        <f t="shared" si="7"/>
        <v>15.532747010965538</v>
      </c>
      <c r="BL8" s="3">
        <f t="shared" si="8"/>
        <v>3.4332164723666416</v>
      </c>
      <c r="BM8" s="3">
        <f t="shared" si="9"/>
        <v>93.240711835455969</v>
      </c>
      <c r="BN8" s="3">
        <f t="shared" si="10"/>
        <v>332.60985556878984</v>
      </c>
      <c r="BO8" s="3">
        <f t="shared" si="11"/>
        <v>0</v>
      </c>
      <c r="BP8" s="3">
        <f t="shared" si="12"/>
        <v>11.177259790441282</v>
      </c>
      <c r="BQ8" s="3">
        <f t="shared" si="13"/>
        <v>15.033735702917346</v>
      </c>
      <c r="BR8" s="3">
        <f t="shared" si="14"/>
        <v>0</v>
      </c>
      <c r="BS8" s="3">
        <f t="shared" si="15"/>
        <v>35.58561617532321</v>
      </c>
      <c r="BT8" s="3">
        <f t="shared" si="16"/>
        <v>50.203147034475002</v>
      </c>
      <c r="BU8" s="3">
        <f t="shared" si="17"/>
        <v>93.012536539716621</v>
      </c>
      <c r="BV8" s="3">
        <f t="shared" si="18"/>
        <v>131.01136726083101</v>
      </c>
      <c r="BW8" s="3">
        <f t="shared" si="19"/>
        <v>68.551732679319329</v>
      </c>
      <c r="BX8" s="3">
        <f t="shared" si="20"/>
        <v>174.28689335975798</v>
      </c>
      <c r="BY8" s="3">
        <f t="shared" si="21"/>
        <v>211.71526414125643</v>
      </c>
      <c r="BZ8" s="3">
        <f t="shared" si="22"/>
        <v>120.35685808421971</v>
      </c>
      <c r="CA8" s="9">
        <f t="shared" ref="CA8:CG22" si="25">BC8/BK8</f>
        <v>2.9018563081064661</v>
      </c>
      <c r="CB8" s="9">
        <f t="shared" si="23"/>
        <v>135.76104326330082</v>
      </c>
      <c r="CC8" s="9">
        <f t="shared" si="23"/>
        <v>3.9432072524111406</v>
      </c>
      <c r="CD8" s="9">
        <f t="shared" si="23"/>
        <v>0.96334030705392626</v>
      </c>
      <c r="CE8" s="9">
        <f>BG8/1</f>
        <v>15.008085606120298</v>
      </c>
      <c r="CF8" s="9">
        <f t="shared" si="23"/>
        <v>35.526419589675712</v>
      </c>
      <c r="CG8" s="9">
        <f t="shared" si="23"/>
        <v>95.323832935658501</v>
      </c>
      <c r="CH8" s="9">
        <f>BJ8/1</f>
        <v>142.86979166764576</v>
      </c>
      <c r="CI8" s="9">
        <f t="shared" ref="CI8:CI41" si="26">AVERAGE(CE8:CH8)/AVERAGE(CA8:CD8)</f>
        <v>2.0110694550206558</v>
      </c>
    </row>
    <row r="9" spans="1:88" x14ac:dyDescent="0.25">
      <c r="A9">
        <v>4393</v>
      </c>
      <c r="B9" t="s">
        <v>96</v>
      </c>
      <c r="C9">
        <v>146.4932604</v>
      </c>
      <c r="D9">
        <v>-1.1872159579999999</v>
      </c>
      <c r="E9">
        <v>0.347951819</v>
      </c>
      <c r="F9">
        <v>-3.4120125030000001</v>
      </c>
      <c r="G9">
        <v>6.4485200000000001E-4</v>
      </c>
      <c r="H9" s="10">
        <f>G9/(77/81)</f>
        <v>6.7835080519480524E-4</v>
      </c>
      <c r="I9" s="5" t="s">
        <v>97</v>
      </c>
      <c r="J9" t="s">
        <v>98</v>
      </c>
      <c r="K9">
        <v>143</v>
      </c>
      <c r="L9">
        <v>1788028</v>
      </c>
      <c r="M9">
        <v>3476.5610000000001</v>
      </c>
      <c r="N9">
        <v>2112</v>
      </c>
      <c r="O9">
        <v>2E-3</v>
      </c>
      <c r="P9" t="s">
        <v>88</v>
      </c>
      <c r="Q9" t="s">
        <v>99</v>
      </c>
      <c r="R9">
        <v>1727670</v>
      </c>
      <c r="S9">
        <v>0</v>
      </c>
      <c r="T9">
        <v>21</v>
      </c>
      <c r="U9" t="s">
        <v>43</v>
      </c>
      <c r="V9">
        <v>-1</v>
      </c>
      <c r="W9">
        <v>958</v>
      </c>
      <c r="X9">
        <v>47</v>
      </c>
      <c r="Y9">
        <v>4461</v>
      </c>
      <c r="Z9">
        <v>1772307</v>
      </c>
      <c r="AA9">
        <v>8834</v>
      </c>
      <c r="AB9">
        <v>1171</v>
      </c>
      <c r="AC9">
        <v>250</v>
      </c>
      <c r="AD9">
        <v>1788028</v>
      </c>
      <c r="AE9">
        <v>14</v>
      </c>
      <c r="AF9">
        <v>153</v>
      </c>
      <c r="AG9">
        <v>168</v>
      </c>
      <c r="AH9">
        <v>15</v>
      </c>
      <c r="AI9">
        <v>13</v>
      </c>
      <c r="AJ9">
        <v>107</v>
      </c>
      <c r="AK9">
        <v>162</v>
      </c>
      <c r="AL9">
        <v>471</v>
      </c>
      <c r="AM9">
        <v>344</v>
      </c>
      <c r="AN9">
        <v>83</v>
      </c>
      <c r="AO9">
        <v>80</v>
      </c>
      <c r="AP9">
        <v>295</v>
      </c>
      <c r="AQ9">
        <v>481</v>
      </c>
      <c r="AR9">
        <v>1204</v>
      </c>
      <c r="AS9">
        <v>327</v>
      </c>
      <c r="AT9">
        <v>262</v>
      </c>
      <c r="AU9">
        <v>104</v>
      </c>
      <c r="AV9">
        <v>34</v>
      </c>
      <c r="AW9">
        <v>72</v>
      </c>
      <c r="AX9">
        <v>124</v>
      </c>
      <c r="AY9">
        <v>95</v>
      </c>
      <c r="AZ9">
        <v>206</v>
      </c>
      <c r="BA9">
        <v>65</v>
      </c>
      <c r="BB9">
        <v>28</v>
      </c>
      <c r="BC9" s="3">
        <f t="shared" si="24"/>
        <v>157.75829963597272</v>
      </c>
      <c r="BD9" s="3">
        <f t="shared" si="0"/>
        <v>440.20276947961986</v>
      </c>
      <c r="BE9" s="3">
        <f t="shared" si="1"/>
        <v>532.48389473934435</v>
      </c>
      <c r="BF9" s="3">
        <f t="shared" si="2"/>
        <v>114.43445728314289</v>
      </c>
      <c r="BG9" s="3">
        <f t="shared" si="3"/>
        <v>195.10511287956388</v>
      </c>
      <c r="BH9" s="3">
        <f t="shared" si="4"/>
        <v>786.82256048238833</v>
      </c>
      <c r="BI9" s="3">
        <f t="shared" si="5"/>
        <v>584.78054485663847</v>
      </c>
      <c r="BJ9" s="3">
        <f t="shared" si="6"/>
        <v>1770.8334704068725</v>
      </c>
      <c r="BK9" s="3">
        <f t="shared" si="7"/>
        <v>1335.8162429430361</v>
      </c>
      <c r="BL9" s="3">
        <f t="shared" si="8"/>
        <v>284.95696720643122</v>
      </c>
      <c r="BM9" s="3">
        <f t="shared" si="9"/>
        <v>286.89449795524911</v>
      </c>
      <c r="BN9" s="3">
        <f t="shared" si="10"/>
        <v>908.51766104437957</v>
      </c>
      <c r="BO9" s="3">
        <f t="shared" si="11"/>
        <v>2348.181062822875</v>
      </c>
      <c r="BP9" s="3">
        <f t="shared" si="12"/>
        <v>2242.9034646152172</v>
      </c>
      <c r="BQ9" s="3">
        <f t="shared" si="13"/>
        <v>1638.677191617991</v>
      </c>
      <c r="BR9" s="3">
        <f t="shared" si="14"/>
        <v>1216.2129542462542</v>
      </c>
      <c r="BS9" s="3">
        <f t="shared" si="15"/>
        <v>616.81734703893574</v>
      </c>
      <c r="BT9" s="3">
        <f t="shared" si="16"/>
        <v>170.690699917215</v>
      </c>
      <c r="BU9" s="3">
        <f t="shared" si="17"/>
        <v>372.05014615886648</v>
      </c>
      <c r="BV9" s="3">
        <f t="shared" si="18"/>
        <v>295.37108255169176</v>
      </c>
      <c r="BW9" s="3">
        <f t="shared" si="19"/>
        <v>434.16097363568912</v>
      </c>
      <c r="BX9" s="3">
        <f t="shared" si="20"/>
        <v>608.52711918830755</v>
      </c>
      <c r="BY9" s="3">
        <f t="shared" si="21"/>
        <v>491.48186318505958</v>
      </c>
      <c r="BZ9" s="3">
        <f t="shared" si="22"/>
        <v>842.49800658953791</v>
      </c>
      <c r="CA9" s="9">
        <f t="shared" si="25"/>
        <v>0.11809880323689109</v>
      </c>
      <c r="CB9" s="9">
        <f t="shared" si="23"/>
        <v>1.5448043744820039</v>
      </c>
      <c r="CC9" s="9">
        <f t="shared" si="23"/>
        <v>1.8560268619107614</v>
      </c>
      <c r="CD9" s="9">
        <f t="shared" si="23"/>
        <v>0.12595732828307996</v>
      </c>
      <c r="CE9" s="9">
        <f t="shared" si="23"/>
        <v>8.3087763532603193E-2</v>
      </c>
      <c r="CF9" s="9">
        <f t="shared" si="23"/>
        <v>0.35080536139676088</v>
      </c>
      <c r="CG9" s="9">
        <f t="shared" si="23"/>
        <v>0.35686134392292362</v>
      </c>
      <c r="CH9" s="9">
        <f t="shared" si="23"/>
        <v>1.4560225363693347</v>
      </c>
      <c r="CI9" s="9">
        <f>AVERAGE(CE9/CA9,CF9/CB9,CG9/CC9)</f>
        <v>0.37430112950575345</v>
      </c>
      <c r="CJ9" t="s">
        <v>469</v>
      </c>
    </row>
    <row r="10" spans="1:88" x14ac:dyDescent="0.25">
      <c r="A10">
        <v>32154</v>
      </c>
      <c r="B10" t="s">
        <v>158</v>
      </c>
      <c r="C10">
        <v>22.045970109999999</v>
      </c>
      <c r="D10">
        <v>1.370065938</v>
      </c>
      <c r="E10">
        <v>0.426743555</v>
      </c>
      <c r="F10">
        <v>3.2105134870000001</v>
      </c>
      <c r="G10">
        <v>1.324981E-3</v>
      </c>
      <c r="H10" s="10">
        <f>G10/(76/81)</f>
        <v>1.4121508026315791E-3</v>
      </c>
      <c r="I10" s="5" t="s">
        <v>159</v>
      </c>
      <c r="J10" t="s">
        <v>160</v>
      </c>
      <c r="K10">
        <v>87</v>
      </c>
      <c r="L10">
        <v>169089</v>
      </c>
      <c r="M10">
        <v>328.76900000000001</v>
      </c>
      <c r="N10">
        <v>152535</v>
      </c>
      <c r="O10">
        <v>0.996</v>
      </c>
      <c r="P10" t="s">
        <v>36</v>
      </c>
      <c r="Q10" t="s">
        <v>161</v>
      </c>
      <c r="R10">
        <v>122086</v>
      </c>
      <c r="S10">
        <v>2E-3</v>
      </c>
      <c r="T10">
        <v>21</v>
      </c>
      <c r="U10" t="s">
        <v>43</v>
      </c>
      <c r="V10">
        <v>-1</v>
      </c>
      <c r="W10">
        <v>1899</v>
      </c>
      <c r="X10">
        <v>38</v>
      </c>
      <c r="Y10">
        <v>5426</v>
      </c>
      <c r="Z10">
        <v>135684</v>
      </c>
      <c r="AA10">
        <v>25371</v>
      </c>
      <c r="AB10">
        <v>281</v>
      </c>
      <c r="AC10">
        <v>390</v>
      </c>
      <c r="AD10">
        <v>169089</v>
      </c>
      <c r="AE10">
        <v>36</v>
      </c>
      <c r="AF10">
        <v>44</v>
      </c>
      <c r="AG10">
        <v>8</v>
      </c>
      <c r="AH10">
        <v>0</v>
      </c>
      <c r="AI10">
        <v>19</v>
      </c>
      <c r="AJ10">
        <v>19</v>
      </c>
      <c r="AK10">
        <v>23</v>
      </c>
      <c r="AL10">
        <v>21</v>
      </c>
      <c r="AM10">
        <v>69</v>
      </c>
      <c r="AN10">
        <v>5</v>
      </c>
      <c r="AO10">
        <v>1</v>
      </c>
      <c r="AP10">
        <v>3</v>
      </c>
      <c r="AQ10">
        <v>16</v>
      </c>
      <c r="AR10">
        <v>45</v>
      </c>
      <c r="AS10">
        <v>4</v>
      </c>
      <c r="AT10">
        <v>0</v>
      </c>
      <c r="AU10">
        <v>44</v>
      </c>
      <c r="AV10">
        <v>11</v>
      </c>
      <c r="AW10">
        <v>12</v>
      </c>
      <c r="AX10">
        <v>5</v>
      </c>
      <c r="AY10">
        <v>97</v>
      </c>
      <c r="AZ10">
        <v>50</v>
      </c>
      <c r="BA10">
        <v>2</v>
      </c>
      <c r="BB10">
        <v>1</v>
      </c>
      <c r="BC10" s="3">
        <f t="shared" si="24"/>
        <v>405.66419906392986</v>
      </c>
      <c r="BD10" s="3">
        <f t="shared" si="0"/>
        <v>126.59426050394299</v>
      </c>
      <c r="BE10" s="3">
        <f t="shared" si="1"/>
        <v>25.356375939968778</v>
      </c>
      <c r="BF10" s="3">
        <f t="shared" si="2"/>
        <v>0</v>
      </c>
      <c r="BG10" s="3">
        <f t="shared" si="3"/>
        <v>285.15362651628567</v>
      </c>
      <c r="BH10" s="3">
        <f t="shared" si="4"/>
        <v>139.71615559967645</v>
      </c>
      <c r="BI10" s="3">
        <f t="shared" si="5"/>
        <v>83.024398343843743</v>
      </c>
      <c r="BJ10" s="3">
        <f t="shared" si="6"/>
        <v>78.954358553172668</v>
      </c>
      <c r="BK10" s="3">
        <f t="shared" si="7"/>
        <v>267.93988593915549</v>
      </c>
      <c r="BL10" s="3">
        <f t="shared" si="8"/>
        <v>17.166082361833205</v>
      </c>
      <c r="BM10" s="3">
        <f t="shared" si="9"/>
        <v>3.5861812244406139</v>
      </c>
      <c r="BN10" s="3">
        <f t="shared" si="10"/>
        <v>9.2391626546886059</v>
      </c>
      <c r="BO10" s="3">
        <f t="shared" si="11"/>
        <v>78.109972983713106</v>
      </c>
      <c r="BP10" s="3">
        <f t="shared" si="12"/>
        <v>83.829448428309618</v>
      </c>
      <c r="BQ10" s="3">
        <f t="shared" si="13"/>
        <v>20.04498093722313</v>
      </c>
      <c r="BR10" s="3">
        <f t="shared" si="14"/>
        <v>0</v>
      </c>
      <c r="BS10" s="3">
        <f t="shared" si="15"/>
        <v>260.96118528570355</v>
      </c>
      <c r="BT10" s="3">
        <f t="shared" si="16"/>
        <v>55.223461737922506</v>
      </c>
      <c r="BU10" s="3">
        <f t="shared" si="17"/>
        <v>62.008357693144411</v>
      </c>
      <c r="BV10" s="3">
        <f t="shared" si="18"/>
        <v>11.910124296439182</v>
      </c>
      <c r="BW10" s="3">
        <f t="shared" si="19"/>
        <v>443.30120465959834</v>
      </c>
      <c r="BX10" s="3">
        <f t="shared" si="20"/>
        <v>147.70075708454067</v>
      </c>
      <c r="BY10" s="3">
        <f t="shared" si="21"/>
        <v>15.122518867232602</v>
      </c>
      <c r="BZ10" s="3">
        <f t="shared" si="22"/>
        <v>30.089214521054927</v>
      </c>
      <c r="CA10" s="9">
        <f t="shared" si="25"/>
        <v>1.5140119868381565</v>
      </c>
      <c r="CB10" s="9">
        <f t="shared" si="23"/>
        <v>7.3746739550435025</v>
      </c>
      <c r="CC10" s="9">
        <f t="shared" si="23"/>
        <v>7.0705785215648049</v>
      </c>
      <c r="CD10" s="9">
        <f t="shared" si="23"/>
        <v>0</v>
      </c>
      <c r="CE10" s="9">
        <f t="shared" si="23"/>
        <v>3.6506686102137524</v>
      </c>
      <c r="CF10" s="9">
        <f t="shared" si="23"/>
        <v>1.6666715363057742</v>
      </c>
      <c r="CG10" s="9">
        <f t="shared" si="23"/>
        <v>4.1419045796980072</v>
      </c>
      <c r="CH10" s="9">
        <f>BJ10/1</f>
        <v>78.954358553172668</v>
      </c>
      <c r="CI10" s="9">
        <f>AVERAGE(CE10/CA10,CF10/CB10,CG10/CC10)</f>
        <v>1.0743494700277878</v>
      </c>
      <c r="CJ10" t="s">
        <v>473</v>
      </c>
    </row>
    <row r="11" spans="1:88" x14ac:dyDescent="0.25">
      <c r="A11">
        <v>2064</v>
      </c>
      <c r="B11" t="s">
        <v>162</v>
      </c>
      <c r="C11">
        <v>33.929970590000003</v>
      </c>
      <c r="D11">
        <v>1.610934664</v>
      </c>
      <c r="E11">
        <v>0.53406999099999997</v>
      </c>
      <c r="F11">
        <v>3.016336232</v>
      </c>
      <c r="G11">
        <v>2.5584940000000001E-3</v>
      </c>
      <c r="H11" s="10">
        <f>G11/(75/81)</f>
        <v>2.7631735199999999E-3</v>
      </c>
      <c r="I11" s="5" t="s">
        <v>163</v>
      </c>
      <c r="J11" t="s">
        <v>164</v>
      </c>
      <c r="K11">
        <v>80</v>
      </c>
      <c r="L11">
        <v>16679</v>
      </c>
      <c r="M11">
        <v>32.43</v>
      </c>
      <c r="N11">
        <v>16093</v>
      </c>
      <c r="O11">
        <v>1.2999999999999999E-2</v>
      </c>
      <c r="P11" t="s">
        <v>88</v>
      </c>
      <c r="Q11" t="s">
        <v>165</v>
      </c>
      <c r="R11">
        <v>10006</v>
      </c>
      <c r="S11">
        <v>1.2E-2</v>
      </c>
      <c r="T11">
        <v>21</v>
      </c>
      <c r="U11" t="s">
        <v>43</v>
      </c>
      <c r="V11">
        <v>-1</v>
      </c>
      <c r="W11">
        <v>235</v>
      </c>
      <c r="X11">
        <v>4</v>
      </c>
      <c r="Y11">
        <v>5297</v>
      </c>
      <c r="Z11">
        <v>10992</v>
      </c>
      <c r="AA11">
        <v>106</v>
      </c>
      <c r="AB11">
        <v>6</v>
      </c>
      <c r="AC11">
        <v>39</v>
      </c>
      <c r="AD11">
        <v>16679</v>
      </c>
      <c r="AE11">
        <v>9</v>
      </c>
      <c r="AF11">
        <v>66</v>
      </c>
      <c r="AG11">
        <v>107</v>
      </c>
      <c r="AH11">
        <v>16</v>
      </c>
      <c r="AI11">
        <v>0</v>
      </c>
      <c r="AJ11">
        <v>84</v>
      </c>
      <c r="AK11">
        <v>294</v>
      </c>
      <c r="AL11">
        <v>90</v>
      </c>
      <c r="AM11">
        <v>15</v>
      </c>
      <c r="AN11">
        <v>26</v>
      </c>
      <c r="AO11">
        <v>36</v>
      </c>
      <c r="AP11">
        <v>97</v>
      </c>
      <c r="AQ11">
        <v>0</v>
      </c>
      <c r="AR11">
        <v>5</v>
      </c>
      <c r="AS11">
        <v>3</v>
      </c>
      <c r="AT11">
        <v>0</v>
      </c>
      <c r="AU11">
        <v>2</v>
      </c>
      <c r="AV11">
        <v>16</v>
      </c>
      <c r="AW11">
        <v>13</v>
      </c>
      <c r="AX11">
        <v>135</v>
      </c>
      <c r="AY11">
        <v>8</v>
      </c>
      <c r="AZ11">
        <v>32</v>
      </c>
      <c r="BA11">
        <v>27</v>
      </c>
      <c r="BB11">
        <v>4</v>
      </c>
      <c r="BC11" s="3">
        <f t="shared" si="24"/>
        <v>101.41604976598246</v>
      </c>
      <c r="BD11" s="3">
        <f t="shared" si="0"/>
        <v>189.89139075591447</v>
      </c>
      <c r="BE11" s="3">
        <f t="shared" si="1"/>
        <v>339.14152819708244</v>
      </c>
      <c r="BF11" s="3">
        <f t="shared" si="2"/>
        <v>122.06342110201909</v>
      </c>
      <c r="BG11" s="3">
        <f t="shared" si="3"/>
        <v>0</v>
      </c>
      <c r="BH11" s="3">
        <f t="shared" si="4"/>
        <v>617.69247738804324</v>
      </c>
      <c r="BI11" s="3">
        <f t="shared" si="5"/>
        <v>1061.2683962213071</v>
      </c>
      <c r="BJ11" s="3">
        <f t="shared" si="6"/>
        <v>338.37582237073997</v>
      </c>
      <c r="BK11" s="3">
        <f t="shared" si="7"/>
        <v>58.247801291120759</v>
      </c>
      <c r="BL11" s="3">
        <f t="shared" si="8"/>
        <v>89.263628281532675</v>
      </c>
      <c r="BM11" s="3">
        <f t="shared" si="9"/>
        <v>129.10252407986209</v>
      </c>
      <c r="BN11" s="3">
        <f t="shared" si="10"/>
        <v>298.73292583493162</v>
      </c>
      <c r="BO11" s="3">
        <f t="shared" si="11"/>
        <v>0</v>
      </c>
      <c r="BP11" s="3">
        <f t="shared" si="12"/>
        <v>9.3143831587010677</v>
      </c>
      <c r="BQ11" s="3">
        <f t="shared" si="13"/>
        <v>15.033735702917346</v>
      </c>
      <c r="BR11" s="3">
        <f t="shared" si="14"/>
        <v>0</v>
      </c>
      <c r="BS11" s="3">
        <f t="shared" si="15"/>
        <v>11.861872058441071</v>
      </c>
      <c r="BT11" s="3">
        <f t="shared" si="16"/>
        <v>80.325035255160017</v>
      </c>
      <c r="BU11" s="3">
        <f t="shared" si="17"/>
        <v>67.175720834239769</v>
      </c>
      <c r="BV11" s="3">
        <f t="shared" si="18"/>
        <v>321.5733560038579</v>
      </c>
      <c r="BW11" s="3">
        <f t="shared" si="19"/>
        <v>36.560924095636977</v>
      </c>
      <c r="BX11" s="3">
        <f t="shared" si="20"/>
        <v>94.528484534106028</v>
      </c>
      <c r="BY11" s="3">
        <f t="shared" si="21"/>
        <v>204.15400470764013</v>
      </c>
      <c r="BZ11" s="3">
        <f t="shared" si="22"/>
        <v>120.35685808421971</v>
      </c>
      <c r="CA11" s="9">
        <f t="shared" si="25"/>
        <v>1.74111378486388</v>
      </c>
      <c r="CB11" s="9">
        <f t="shared" si="23"/>
        <v>2.1273097947240869</v>
      </c>
      <c r="CC11" s="9">
        <f t="shared" si="23"/>
        <v>2.6269163257202579</v>
      </c>
      <c r="CD11" s="9">
        <f t="shared" si="23"/>
        <v>0.40860384157810131</v>
      </c>
      <c r="CE11" s="9">
        <f>BG11/1</f>
        <v>0</v>
      </c>
      <c r="CF11" s="9">
        <f t="shared" si="23"/>
        <v>66.315983234061335</v>
      </c>
      <c r="CG11" s="9">
        <f t="shared" si="23"/>
        <v>70.592460662679102</v>
      </c>
      <c r="CH11" s="9">
        <f>BJ11/1</f>
        <v>338.37582237073997</v>
      </c>
      <c r="CI11" s="9">
        <f t="shared" si="26"/>
        <v>68.842430311201952</v>
      </c>
      <c r="CJ11" t="s">
        <v>472</v>
      </c>
    </row>
    <row r="12" spans="1:88" x14ac:dyDescent="0.25">
      <c r="A12">
        <v>30815</v>
      </c>
      <c r="B12" t="s">
        <v>166</v>
      </c>
      <c r="C12">
        <v>72.160243100000002</v>
      </c>
      <c r="D12">
        <v>1.8520545690000001</v>
      </c>
      <c r="E12">
        <v>0.62000719000000004</v>
      </c>
      <c r="F12">
        <v>2.9871501469999999</v>
      </c>
      <c r="G12">
        <v>2.8159140000000001E-3</v>
      </c>
      <c r="H12" s="10">
        <f>G12/(74/81)</f>
        <v>3.0822842432432435E-3</v>
      </c>
      <c r="I12" s="5" t="s">
        <v>167</v>
      </c>
      <c r="J12" t="s">
        <v>168</v>
      </c>
      <c r="K12">
        <v>104</v>
      </c>
      <c r="L12">
        <v>24936</v>
      </c>
      <c r="M12">
        <v>48.484000000000002</v>
      </c>
      <c r="N12">
        <v>23798</v>
      </c>
      <c r="O12">
        <v>2.7E-2</v>
      </c>
      <c r="P12" t="s">
        <v>88</v>
      </c>
      <c r="Q12" t="s">
        <v>169</v>
      </c>
      <c r="R12">
        <v>21090</v>
      </c>
      <c r="S12">
        <v>8.0000000000000002E-3</v>
      </c>
      <c r="T12">
        <v>21</v>
      </c>
      <c r="U12" t="s">
        <v>43</v>
      </c>
      <c r="V12">
        <v>-1</v>
      </c>
      <c r="W12">
        <v>239</v>
      </c>
      <c r="X12">
        <v>2</v>
      </c>
      <c r="Y12">
        <v>1129</v>
      </c>
      <c r="Z12">
        <v>23249</v>
      </c>
      <c r="AA12">
        <v>262</v>
      </c>
      <c r="AB12">
        <v>13</v>
      </c>
      <c r="AC12">
        <v>42</v>
      </c>
      <c r="AD12">
        <v>24936</v>
      </c>
      <c r="AE12">
        <v>36</v>
      </c>
      <c r="AF12">
        <v>259</v>
      </c>
      <c r="AG12">
        <v>389</v>
      </c>
      <c r="AH12">
        <v>33</v>
      </c>
      <c r="AI12">
        <v>1</v>
      </c>
      <c r="AJ12">
        <v>113</v>
      </c>
      <c r="AK12">
        <v>1094</v>
      </c>
      <c r="AL12">
        <v>178</v>
      </c>
      <c r="AM12">
        <v>45</v>
      </c>
      <c r="AN12">
        <v>32</v>
      </c>
      <c r="AO12">
        <v>28</v>
      </c>
      <c r="AP12">
        <v>98</v>
      </c>
      <c r="AQ12">
        <v>0</v>
      </c>
      <c r="AR12">
        <v>0</v>
      </c>
      <c r="AS12">
        <v>0</v>
      </c>
      <c r="AT12">
        <v>0</v>
      </c>
      <c r="AU12">
        <v>6</v>
      </c>
      <c r="AV12">
        <v>11</v>
      </c>
      <c r="AW12">
        <v>9</v>
      </c>
      <c r="AX12">
        <v>27</v>
      </c>
      <c r="AY12">
        <v>3</v>
      </c>
      <c r="AZ12">
        <v>8</v>
      </c>
      <c r="BA12">
        <v>42</v>
      </c>
      <c r="BB12">
        <v>2</v>
      </c>
      <c r="BC12" s="3">
        <f t="shared" si="24"/>
        <v>405.66419906392986</v>
      </c>
      <c r="BD12" s="3">
        <f t="shared" si="0"/>
        <v>745.17985160275532</v>
      </c>
      <c r="BE12" s="3">
        <f t="shared" si="1"/>
        <v>1232.9537800809819</v>
      </c>
      <c r="BF12" s="3">
        <f t="shared" si="2"/>
        <v>251.75580602291436</v>
      </c>
      <c r="BG12" s="3">
        <f t="shared" si="3"/>
        <v>15.008085606120298</v>
      </c>
      <c r="BH12" s="3">
        <f t="shared" si="4"/>
        <v>830.94345172439148</v>
      </c>
      <c r="BI12" s="3">
        <f t="shared" si="5"/>
        <v>3949.0735560071762</v>
      </c>
      <c r="BJ12" s="3">
        <f t="shared" si="6"/>
        <v>669.23218202213025</v>
      </c>
      <c r="BK12" s="3">
        <f t="shared" si="7"/>
        <v>174.7434038733623</v>
      </c>
      <c r="BL12" s="3">
        <f t="shared" si="8"/>
        <v>109.86292711573253</v>
      </c>
      <c r="BM12" s="3">
        <f t="shared" si="9"/>
        <v>100.41307428433718</v>
      </c>
      <c r="BN12" s="3">
        <f t="shared" si="10"/>
        <v>301.8126467198278</v>
      </c>
      <c r="BO12" s="3">
        <f t="shared" si="11"/>
        <v>0</v>
      </c>
      <c r="BP12" s="3">
        <f t="shared" si="12"/>
        <v>0</v>
      </c>
      <c r="BQ12" s="3">
        <f t="shared" si="13"/>
        <v>0</v>
      </c>
      <c r="BR12" s="3">
        <f t="shared" si="14"/>
        <v>0</v>
      </c>
      <c r="BS12" s="3">
        <f t="shared" si="15"/>
        <v>35.58561617532321</v>
      </c>
      <c r="BT12" s="3">
        <f t="shared" si="16"/>
        <v>55.223461737922506</v>
      </c>
      <c r="BU12" s="3">
        <f t="shared" si="17"/>
        <v>46.50626826985831</v>
      </c>
      <c r="BV12" s="3">
        <f t="shared" si="18"/>
        <v>64.314671200771585</v>
      </c>
      <c r="BW12" s="3">
        <f t="shared" si="19"/>
        <v>13.710346535863867</v>
      </c>
      <c r="BX12" s="3">
        <f t="shared" si="20"/>
        <v>23.632121133526507</v>
      </c>
      <c r="BY12" s="3">
        <f t="shared" si="21"/>
        <v>317.57289621188465</v>
      </c>
      <c r="BZ12" s="3">
        <f t="shared" si="22"/>
        <v>60.178429042109855</v>
      </c>
      <c r="CA12" s="9">
        <f t="shared" si="25"/>
        <v>2.3214850464851731</v>
      </c>
      <c r="CB12" s="9">
        <f t="shared" si="23"/>
        <v>6.7828144685946974</v>
      </c>
      <c r="CC12" s="9">
        <f t="shared" si="23"/>
        <v>12.278817164681739</v>
      </c>
      <c r="CD12" s="9">
        <f t="shared" si="23"/>
        <v>0.83414598016039687</v>
      </c>
      <c r="CE12" s="9">
        <f>BG12/1</f>
        <v>15.008085606120298</v>
      </c>
      <c r="CF12" s="9">
        <f>BH12/1</f>
        <v>830.94345172439148</v>
      </c>
      <c r="CG12" s="9">
        <f>BI12/1</f>
        <v>3949.0735560071762</v>
      </c>
      <c r="CH12" s="9">
        <f>BJ12/1</f>
        <v>669.23218202213025</v>
      </c>
      <c r="CI12" s="9">
        <f t="shared" si="26"/>
        <v>245.94646779852229</v>
      </c>
      <c r="CJ12" t="s">
        <v>470</v>
      </c>
    </row>
    <row r="13" spans="1:88" x14ac:dyDescent="0.25">
      <c r="A13">
        <v>22791</v>
      </c>
      <c r="B13" t="s">
        <v>170</v>
      </c>
      <c r="C13">
        <v>163.04791370000001</v>
      </c>
      <c r="D13">
        <v>0.992842483</v>
      </c>
      <c r="E13">
        <v>0.33527412200000001</v>
      </c>
      <c r="F13">
        <v>2.961285755</v>
      </c>
      <c r="G13">
        <v>3.0635760000000001E-3</v>
      </c>
      <c r="H13" s="10">
        <f>G13/(73/81)</f>
        <v>3.3993103561643836E-3</v>
      </c>
      <c r="I13" s="5" t="s">
        <v>171</v>
      </c>
      <c r="J13" t="s">
        <v>172</v>
      </c>
      <c r="K13">
        <v>856</v>
      </c>
      <c r="L13">
        <v>26577</v>
      </c>
      <c r="M13">
        <v>51.674999999999997</v>
      </c>
      <c r="N13">
        <v>26472</v>
      </c>
      <c r="O13">
        <v>0.98</v>
      </c>
      <c r="P13" t="s">
        <v>36</v>
      </c>
      <c r="Q13" t="s">
        <v>173</v>
      </c>
      <c r="R13">
        <v>4712</v>
      </c>
      <c r="S13">
        <v>4.8000000000000001E-2</v>
      </c>
      <c r="T13">
        <v>24</v>
      </c>
      <c r="U13" t="s">
        <v>49</v>
      </c>
      <c r="V13">
        <v>-1</v>
      </c>
      <c r="W13">
        <v>132</v>
      </c>
      <c r="X13">
        <v>3306</v>
      </c>
      <c r="Y13">
        <v>283</v>
      </c>
      <c r="Z13">
        <v>479</v>
      </c>
      <c r="AA13">
        <v>522</v>
      </c>
      <c r="AB13">
        <v>1818</v>
      </c>
      <c r="AC13">
        <v>20037</v>
      </c>
      <c r="AD13">
        <v>26577</v>
      </c>
      <c r="AE13">
        <v>337</v>
      </c>
      <c r="AF13">
        <v>218</v>
      </c>
      <c r="AG13">
        <v>156</v>
      </c>
      <c r="AH13">
        <v>25</v>
      </c>
      <c r="AI13">
        <v>81</v>
      </c>
      <c r="AJ13">
        <v>148</v>
      </c>
      <c r="AK13">
        <v>183</v>
      </c>
      <c r="AL13">
        <v>178</v>
      </c>
      <c r="AM13">
        <v>444</v>
      </c>
      <c r="AN13">
        <v>178</v>
      </c>
      <c r="AO13">
        <v>97</v>
      </c>
      <c r="AP13">
        <v>63</v>
      </c>
      <c r="AQ13">
        <v>196</v>
      </c>
      <c r="AR13">
        <v>169</v>
      </c>
      <c r="AS13">
        <v>21</v>
      </c>
      <c r="AT13">
        <v>17</v>
      </c>
      <c r="AU13">
        <v>217</v>
      </c>
      <c r="AV13">
        <v>228</v>
      </c>
      <c r="AW13">
        <v>152</v>
      </c>
      <c r="AX13">
        <v>47</v>
      </c>
      <c r="AY13">
        <v>249</v>
      </c>
      <c r="AZ13">
        <v>482</v>
      </c>
      <c r="BA13">
        <v>81</v>
      </c>
      <c r="BB13">
        <v>19</v>
      </c>
      <c r="BC13" s="3">
        <f t="shared" si="24"/>
        <v>3797.4676412373433</v>
      </c>
      <c r="BD13" s="3">
        <f t="shared" si="0"/>
        <v>627.21701795135391</v>
      </c>
      <c r="BE13" s="3">
        <f t="shared" si="1"/>
        <v>494.44933082939122</v>
      </c>
      <c r="BF13" s="3">
        <f t="shared" si="2"/>
        <v>190.72409547190483</v>
      </c>
      <c r="BG13" s="3">
        <f t="shared" si="3"/>
        <v>1215.654934095744</v>
      </c>
      <c r="BH13" s="3">
        <f t="shared" si="4"/>
        <v>1088.3153173027429</v>
      </c>
      <c r="BI13" s="3">
        <f t="shared" si="5"/>
        <v>660.5854303010176</v>
      </c>
      <c r="BJ13" s="3">
        <f t="shared" si="6"/>
        <v>669.23218202213025</v>
      </c>
      <c r="BK13" s="3">
        <f t="shared" si="7"/>
        <v>1724.1349182171748</v>
      </c>
      <c r="BL13" s="3">
        <f t="shared" si="8"/>
        <v>611.11253208126209</v>
      </c>
      <c r="BM13" s="3">
        <f t="shared" si="9"/>
        <v>347.85957877073957</v>
      </c>
      <c r="BN13" s="3">
        <f t="shared" si="10"/>
        <v>194.02241574846073</v>
      </c>
      <c r="BO13" s="3">
        <f t="shared" si="11"/>
        <v>956.84716905048538</v>
      </c>
      <c r="BP13" s="3">
        <f t="shared" si="12"/>
        <v>314.8261507640961</v>
      </c>
      <c r="BQ13" s="3">
        <f t="shared" si="13"/>
        <v>105.23614992042143</v>
      </c>
      <c r="BR13" s="3">
        <f t="shared" si="14"/>
        <v>78.914581000711152</v>
      </c>
      <c r="BS13" s="3">
        <f t="shared" si="15"/>
        <v>1287.0131183408562</v>
      </c>
      <c r="BT13" s="3">
        <f t="shared" si="16"/>
        <v>1144.63175238603</v>
      </c>
      <c r="BU13" s="3">
        <f t="shared" si="17"/>
        <v>785.43919744649577</v>
      </c>
      <c r="BV13" s="3">
        <f t="shared" si="18"/>
        <v>111.95516838652833</v>
      </c>
      <c r="BW13" s="3">
        <f t="shared" si="19"/>
        <v>1137.9587624767009</v>
      </c>
      <c r="BX13" s="3">
        <f t="shared" si="20"/>
        <v>1423.8352982949718</v>
      </c>
      <c r="BY13" s="3">
        <f t="shared" si="21"/>
        <v>612.46201412292044</v>
      </c>
      <c r="BZ13" s="3">
        <f t="shared" si="22"/>
        <v>571.69507590004366</v>
      </c>
      <c r="CA13" s="9">
        <f t="shared" si="25"/>
        <v>2.2025350807024302</v>
      </c>
      <c r="CB13" s="9">
        <f t="shared" si="23"/>
        <v>1.0263527337841443</v>
      </c>
      <c r="CC13" s="9">
        <f t="shared" si="23"/>
        <v>1.4214049605207597</v>
      </c>
      <c r="CD13" s="9">
        <f t="shared" si="23"/>
        <v>0.98300031332033311</v>
      </c>
      <c r="CE13" s="9">
        <f>BG13/BO13</f>
        <v>1.2704797311592437</v>
      </c>
      <c r="CF13" s="9">
        <f t="shared" si="23"/>
        <v>3.4568771198369532</v>
      </c>
      <c r="CG13" s="9">
        <f t="shared" si="23"/>
        <v>6.2771721580516395</v>
      </c>
      <c r="CH13" s="9">
        <f t="shared" si="23"/>
        <v>8.4804629706657035</v>
      </c>
      <c r="CI13" s="9">
        <f t="shared" si="26"/>
        <v>3.4588990265901418</v>
      </c>
    </row>
    <row r="14" spans="1:88" x14ac:dyDescent="0.25">
      <c r="A14">
        <v>33656</v>
      </c>
      <c r="B14" t="s">
        <v>174</v>
      </c>
      <c r="C14">
        <v>2.2234898209999998</v>
      </c>
      <c r="D14">
        <v>1.7615029310000001</v>
      </c>
      <c r="E14">
        <v>0.61914232899999999</v>
      </c>
      <c r="F14">
        <v>2.8450694580000002</v>
      </c>
      <c r="G14">
        <v>4.4401739999999999E-3</v>
      </c>
      <c r="H14" s="10">
        <f>G14/(72/81)</f>
        <v>4.9951957500000005E-3</v>
      </c>
      <c r="I14" s="5" t="s">
        <v>478</v>
      </c>
      <c r="J14" t="s">
        <v>175</v>
      </c>
      <c r="K14">
        <v>419</v>
      </c>
      <c r="L14">
        <v>6535</v>
      </c>
      <c r="M14">
        <v>12.706</v>
      </c>
      <c r="N14">
        <v>2</v>
      </c>
      <c r="O14">
        <v>2E-3</v>
      </c>
      <c r="P14" t="s">
        <v>88</v>
      </c>
      <c r="Q14" t="s">
        <v>176</v>
      </c>
      <c r="R14">
        <v>5427</v>
      </c>
      <c r="S14">
        <v>1.9E-2</v>
      </c>
      <c r="T14">
        <v>21</v>
      </c>
      <c r="U14" t="s">
        <v>90</v>
      </c>
      <c r="V14">
        <v>-1</v>
      </c>
      <c r="W14">
        <v>37</v>
      </c>
      <c r="X14">
        <v>3</v>
      </c>
      <c r="Y14">
        <v>582</v>
      </c>
      <c r="Z14">
        <v>5749</v>
      </c>
      <c r="AA14">
        <v>28</v>
      </c>
      <c r="AB14">
        <v>13</v>
      </c>
      <c r="AC14">
        <v>123</v>
      </c>
      <c r="AD14">
        <v>6535</v>
      </c>
      <c r="AE14">
        <v>4</v>
      </c>
      <c r="AF14">
        <v>20</v>
      </c>
      <c r="AG14">
        <v>8</v>
      </c>
      <c r="AH14">
        <v>0</v>
      </c>
      <c r="AI14">
        <v>0</v>
      </c>
      <c r="AJ14">
        <v>3</v>
      </c>
      <c r="AK14">
        <v>14</v>
      </c>
      <c r="AL14">
        <v>8</v>
      </c>
      <c r="AM14">
        <v>6</v>
      </c>
      <c r="AN14">
        <v>2</v>
      </c>
      <c r="AO14">
        <v>2</v>
      </c>
      <c r="AP14">
        <v>0</v>
      </c>
      <c r="AQ14">
        <v>0</v>
      </c>
      <c r="AR14">
        <v>0</v>
      </c>
      <c r="AS14">
        <v>0</v>
      </c>
      <c r="AT14">
        <v>0</v>
      </c>
      <c r="AU14">
        <v>0</v>
      </c>
      <c r="AV14">
        <v>1</v>
      </c>
      <c r="AW14">
        <v>1</v>
      </c>
      <c r="AX14">
        <v>2</v>
      </c>
      <c r="AY14">
        <v>2</v>
      </c>
      <c r="AZ14">
        <v>1</v>
      </c>
      <c r="BA14">
        <v>0</v>
      </c>
      <c r="BB14">
        <v>0</v>
      </c>
      <c r="BC14" s="3">
        <f t="shared" si="24"/>
        <v>45.073799895992202</v>
      </c>
      <c r="BD14" s="3">
        <f t="shared" si="0"/>
        <v>57.542845683610444</v>
      </c>
      <c r="BE14" s="3">
        <f t="shared" si="1"/>
        <v>25.356375939968778</v>
      </c>
      <c r="BF14" s="3">
        <f t="shared" si="2"/>
        <v>0</v>
      </c>
      <c r="BG14" s="3">
        <f t="shared" si="3"/>
        <v>0</v>
      </c>
      <c r="BH14" s="3">
        <f t="shared" si="4"/>
        <v>22.060445621001541</v>
      </c>
      <c r="BI14" s="3">
        <f t="shared" si="5"/>
        <v>50.536590296252712</v>
      </c>
      <c r="BJ14" s="3">
        <f t="shared" si="6"/>
        <v>30.077850877399108</v>
      </c>
      <c r="BK14" s="3">
        <f t="shared" si="7"/>
        <v>23.299120516448305</v>
      </c>
      <c r="BL14" s="3">
        <f t="shared" si="8"/>
        <v>6.8664329447332833</v>
      </c>
      <c r="BM14" s="3">
        <f t="shared" si="9"/>
        <v>7.1723624488812279</v>
      </c>
      <c r="BN14" s="3">
        <f t="shared" si="10"/>
        <v>0</v>
      </c>
      <c r="BO14" s="3">
        <f t="shared" si="11"/>
        <v>0</v>
      </c>
      <c r="BP14" s="3">
        <f t="shared" si="12"/>
        <v>0</v>
      </c>
      <c r="BQ14" s="3">
        <f t="shared" si="13"/>
        <v>0</v>
      </c>
      <c r="BR14" s="3">
        <f t="shared" si="14"/>
        <v>0</v>
      </c>
      <c r="BS14" s="3">
        <f t="shared" si="15"/>
        <v>0</v>
      </c>
      <c r="BT14" s="3">
        <f t="shared" si="16"/>
        <v>5.0203147034475011</v>
      </c>
      <c r="BU14" s="3">
        <f t="shared" si="17"/>
        <v>5.1673631410953673</v>
      </c>
      <c r="BV14" s="3">
        <f t="shared" si="18"/>
        <v>4.7640497185756736</v>
      </c>
      <c r="BW14" s="3">
        <f t="shared" si="19"/>
        <v>9.1402310239092444</v>
      </c>
      <c r="BX14" s="3">
        <f t="shared" si="20"/>
        <v>2.9540151416908134</v>
      </c>
      <c r="BY14" s="3">
        <f t="shared" si="21"/>
        <v>0</v>
      </c>
      <c r="BZ14" s="3">
        <f t="shared" si="22"/>
        <v>0</v>
      </c>
      <c r="CA14" s="9">
        <f t="shared" si="25"/>
        <v>1.9345708720709776</v>
      </c>
      <c r="CB14" s="9">
        <f t="shared" si="23"/>
        <v>8.3803113125494324</v>
      </c>
      <c r="CC14" s="9">
        <f t="shared" si="23"/>
        <v>3.5352892607824025</v>
      </c>
      <c r="CD14" s="9"/>
      <c r="CE14" s="9">
        <f>BG14/1</f>
        <v>0</v>
      </c>
      <c r="CF14" s="9">
        <f>BH14/1</f>
        <v>22.060445621001541</v>
      </c>
      <c r="CG14" s="9">
        <f>BI14/1</f>
        <v>50.536590296252712</v>
      </c>
      <c r="CH14" s="9">
        <f>BJ14/1</f>
        <v>30.077850877399108</v>
      </c>
      <c r="CI14" s="9">
        <f t="shared" si="26"/>
        <v>5.5599430952567825</v>
      </c>
      <c r="CJ14" t="s">
        <v>470</v>
      </c>
    </row>
    <row r="15" spans="1:88" x14ac:dyDescent="0.25">
      <c r="A15">
        <v>3610</v>
      </c>
      <c r="B15" t="s">
        <v>177</v>
      </c>
      <c r="C15">
        <v>54.219520240000001</v>
      </c>
      <c r="D15">
        <v>1.2364640739999999</v>
      </c>
      <c r="E15">
        <v>0.43808512500000002</v>
      </c>
      <c r="F15">
        <v>2.8224287989999999</v>
      </c>
      <c r="G15">
        <v>4.7661400000000003E-3</v>
      </c>
      <c r="H15" s="10">
        <f>G15/(71/81)</f>
        <v>5.4374273239436626E-3</v>
      </c>
      <c r="I15" s="5" t="s">
        <v>178</v>
      </c>
      <c r="J15" t="s">
        <v>179</v>
      </c>
      <c r="K15">
        <v>785</v>
      </c>
      <c r="L15">
        <v>82167</v>
      </c>
      <c r="M15">
        <v>159.762</v>
      </c>
      <c r="N15">
        <v>81941</v>
      </c>
      <c r="O15">
        <v>0.995</v>
      </c>
      <c r="P15" t="s">
        <v>36</v>
      </c>
      <c r="Q15" t="s">
        <v>180</v>
      </c>
      <c r="R15">
        <v>42358</v>
      </c>
      <c r="S15">
        <v>5.0000000000000001E-3</v>
      </c>
      <c r="T15">
        <v>21</v>
      </c>
      <c r="U15" t="s">
        <v>49</v>
      </c>
      <c r="V15">
        <v>-1</v>
      </c>
      <c r="W15">
        <v>387</v>
      </c>
      <c r="X15">
        <v>42</v>
      </c>
      <c r="Y15">
        <v>1495</v>
      </c>
      <c r="Z15">
        <v>78056</v>
      </c>
      <c r="AA15">
        <v>680</v>
      </c>
      <c r="AB15">
        <v>243</v>
      </c>
      <c r="AC15">
        <v>1264</v>
      </c>
      <c r="AD15">
        <v>82167</v>
      </c>
      <c r="AE15">
        <v>73</v>
      </c>
      <c r="AF15">
        <v>48</v>
      </c>
      <c r="AG15">
        <v>31</v>
      </c>
      <c r="AH15">
        <v>5</v>
      </c>
      <c r="AI15">
        <v>24</v>
      </c>
      <c r="AJ15">
        <v>110</v>
      </c>
      <c r="AK15">
        <v>216</v>
      </c>
      <c r="AL15">
        <v>53</v>
      </c>
      <c r="AM15">
        <v>39</v>
      </c>
      <c r="AN15">
        <v>14</v>
      </c>
      <c r="AO15">
        <v>18</v>
      </c>
      <c r="AP15">
        <v>114</v>
      </c>
      <c r="AQ15">
        <v>28</v>
      </c>
      <c r="AR15">
        <v>108</v>
      </c>
      <c r="AS15">
        <v>20</v>
      </c>
      <c r="AT15">
        <v>15</v>
      </c>
      <c r="AU15">
        <v>36</v>
      </c>
      <c r="AV15">
        <v>40</v>
      </c>
      <c r="AW15">
        <v>16</v>
      </c>
      <c r="AX15">
        <v>141</v>
      </c>
      <c r="AY15">
        <v>65</v>
      </c>
      <c r="AZ15">
        <v>141</v>
      </c>
      <c r="BA15">
        <v>27</v>
      </c>
      <c r="BB15">
        <v>19</v>
      </c>
      <c r="BC15" s="3">
        <f t="shared" si="24"/>
        <v>822.59684810185774</v>
      </c>
      <c r="BD15" s="3">
        <f t="shared" si="0"/>
        <v>138.10282964066508</v>
      </c>
      <c r="BE15" s="3">
        <f t="shared" si="1"/>
        <v>98.255956767379018</v>
      </c>
      <c r="BF15" s="3">
        <f t="shared" si="2"/>
        <v>38.144819094380964</v>
      </c>
      <c r="BG15" s="3">
        <f t="shared" si="3"/>
        <v>360.19405454688712</v>
      </c>
      <c r="BH15" s="3">
        <f t="shared" si="4"/>
        <v>808.8830061033899</v>
      </c>
      <c r="BI15" s="3">
        <f t="shared" si="5"/>
        <v>779.70739314218474</v>
      </c>
      <c r="BJ15" s="3">
        <f t="shared" si="6"/>
        <v>199.26576206276908</v>
      </c>
      <c r="BK15" s="3">
        <f t="shared" si="7"/>
        <v>151.44428335691399</v>
      </c>
      <c r="BL15" s="3">
        <f t="shared" si="8"/>
        <v>48.065030613132976</v>
      </c>
      <c r="BM15" s="3">
        <f t="shared" si="9"/>
        <v>64.551262039931046</v>
      </c>
      <c r="BN15" s="3">
        <f t="shared" si="10"/>
        <v>351.08818087816707</v>
      </c>
      <c r="BO15" s="3">
        <f t="shared" si="11"/>
        <v>136.69245272149792</v>
      </c>
      <c r="BP15" s="3">
        <f t="shared" si="12"/>
        <v>201.19067622794307</v>
      </c>
      <c r="BQ15" s="3">
        <f t="shared" si="13"/>
        <v>100.22490468611565</v>
      </c>
      <c r="BR15" s="3">
        <f t="shared" si="14"/>
        <v>69.630512647686317</v>
      </c>
      <c r="BS15" s="3">
        <f t="shared" si="15"/>
        <v>213.51369705193929</v>
      </c>
      <c r="BT15" s="3">
        <f t="shared" si="16"/>
        <v>200.81258813790001</v>
      </c>
      <c r="BU15" s="3">
        <f t="shared" si="17"/>
        <v>82.677810257525877</v>
      </c>
      <c r="BV15" s="3">
        <f t="shared" si="18"/>
        <v>335.86550515958498</v>
      </c>
      <c r="BW15" s="3">
        <f t="shared" si="19"/>
        <v>297.05750827705049</v>
      </c>
      <c r="BX15" s="3">
        <f t="shared" si="20"/>
        <v>416.51613497840464</v>
      </c>
      <c r="BY15" s="3">
        <f t="shared" si="21"/>
        <v>204.15400470764013</v>
      </c>
      <c r="BZ15" s="3">
        <f t="shared" si="22"/>
        <v>571.69507590004366</v>
      </c>
      <c r="CA15" s="9">
        <f t="shared" si="25"/>
        <v>5.4316797561992836</v>
      </c>
      <c r="CB15" s="9">
        <f t="shared" si="23"/>
        <v>2.8732495928740915</v>
      </c>
      <c r="CC15" s="9">
        <f t="shared" si="23"/>
        <v>1.5221384317257567</v>
      </c>
      <c r="CD15" s="9">
        <f t="shared" si="23"/>
        <v>0.10864740305119469</v>
      </c>
      <c r="CE15" s="9">
        <f t="shared" si="23"/>
        <v>2.6350690720339869</v>
      </c>
      <c r="CF15" s="9">
        <f t="shared" si="23"/>
        <v>4.0204795831937528</v>
      </c>
      <c r="CG15" s="9">
        <f t="shared" si="23"/>
        <v>7.7795772975197366</v>
      </c>
      <c r="CH15" s="9">
        <f t="shared" si="23"/>
        <v>2.8617592271796997</v>
      </c>
      <c r="CI15" s="9">
        <f t="shared" si="26"/>
        <v>1.7408797313395026</v>
      </c>
    </row>
    <row r="16" spans="1:88" x14ac:dyDescent="0.25">
      <c r="A16">
        <v>6922</v>
      </c>
      <c r="B16" t="s">
        <v>181</v>
      </c>
      <c r="C16">
        <v>243.566979</v>
      </c>
      <c r="D16">
        <v>0.99215995899999998</v>
      </c>
      <c r="E16">
        <v>0.35310382600000001</v>
      </c>
      <c r="F16">
        <v>2.809825</v>
      </c>
      <c r="G16">
        <v>4.9568440000000002E-3</v>
      </c>
      <c r="H16" s="10">
        <f>G16/(70/81)</f>
        <v>5.735776628571429E-3</v>
      </c>
      <c r="I16" s="5" t="s">
        <v>182</v>
      </c>
      <c r="J16" t="s">
        <v>183</v>
      </c>
      <c r="K16">
        <v>1360</v>
      </c>
      <c r="L16">
        <v>169385</v>
      </c>
      <c r="M16">
        <v>329.34500000000003</v>
      </c>
      <c r="N16">
        <v>169010</v>
      </c>
      <c r="O16">
        <v>0.83</v>
      </c>
      <c r="P16" t="s">
        <v>36</v>
      </c>
      <c r="Q16" t="s">
        <v>184</v>
      </c>
      <c r="R16">
        <v>41796</v>
      </c>
      <c r="S16">
        <v>2.5999999999999999E-2</v>
      </c>
      <c r="T16">
        <v>21</v>
      </c>
      <c r="U16" t="s">
        <v>49</v>
      </c>
      <c r="V16">
        <v>1260.5</v>
      </c>
      <c r="W16">
        <v>1497</v>
      </c>
      <c r="X16">
        <v>1166</v>
      </c>
      <c r="Y16">
        <v>3916</v>
      </c>
      <c r="Z16">
        <v>142229</v>
      </c>
      <c r="AA16">
        <v>10085</v>
      </c>
      <c r="AB16">
        <v>3182</v>
      </c>
      <c r="AC16">
        <v>7310</v>
      </c>
      <c r="AD16">
        <v>169385</v>
      </c>
      <c r="AE16">
        <v>329</v>
      </c>
      <c r="AF16">
        <v>565</v>
      </c>
      <c r="AG16">
        <v>156</v>
      </c>
      <c r="AH16">
        <v>21</v>
      </c>
      <c r="AI16">
        <v>116</v>
      </c>
      <c r="AJ16">
        <v>424</v>
      </c>
      <c r="AK16">
        <v>316</v>
      </c>
      <c r="AL16">
        <v>101</v>
      </c>
      <c r="AM16">
        <v>1126</v>
      </c>
      <c r="AN16">
        <v>82</v>
      </c>
      <c r="AO16">
        <v>36</v>
      </c>
      <c r="AP16">
        <v>88</v>
      </c>
      <c r="AQ16">
        <v>320</v>
      </c>
      <c r="AR16">
        <v>472</v>
      </c>
      <c r="AS16">
        <v>44</v>
      </c>
      <c r="AT16">
        <v>9</v>
      </c>
      <c r="AU16">
        <v>334</v>
      </c>
      <c r="AV16">
        <v>306</v>
      </c>
      <c r="AW16">
        <v>88</v>
      </c>
      <c r="AX16">
        <v>157</v>
      </c>
      <c r="AY16">
        <v>698</v>
      </c>
      <c r="AZ16">
        <v>595</v>
      </c>
      <c r="BA16">
        <v>79</v>
      </c>
      <c r="BB16">
        <v>8</v>
      </c>
      <c r="BC16" s="3">
        <f t="shared" si="24"/>
        <v>3707.320041445359</v>
      </c>
      <c r="BD16" s="3">
        <f t="shared" si="0"/>
        <v>1625.5853905619952</v>
      </c>
      <c r="BE16" s="3">
        <f t="shared" si="1"/>
        <v>494.44933082939122</v>
      </c>
      <c r="BF16" s="3">
        <f t="shared" si="2"/>
        <v>160.20824019640003</v>
      </c>
      <c r="BG16" s="3">
        <f t="shared" si="3"/>
        <v>1740.9379303099545</v>
      </c>
      <c r="BH16" s="3">
        <f t="shared" si="4"/>
        <v>3117.876314434885</v>
      </c>
      <c r="BI16" s="3">
        <f t="shared" si="5"/>
        <v>1140.6830381154184</v>
      </c>
      <c r="BJ16" s="3">
        <f t="shared" si="6"/>
        <v>379.73286732716377</v>
      </c>
      <c r="BK16" s="3">
        <f t="shared" si="7"/>
        <v>4372.4682835867989</v>
      </c>
      <c r="BL16" s="3">
        <f t="shared" si="8"/>
        <v>281.52375073406461</v>
      </c>
      <c r="BM16" s="3">
        <f t="shared" si="9"/>
        <v>129.10252407986209</v>
      </c>
      <c r="BN16" s="3">
        <f t="shared" si="10"/>
        <v>271.01543787086575</v>
      </c>
      <c r="BO16" s="3">
        <f t="shared" si="11"/>
        <v>1562.199459674262</v>
      </c>
      <c r="BP16" s="3">
        <f t="shared" si="12"/>
        <v>879.27777018138079</v>
      </c>
      <c r="BQ16" s="3">
        <f t="shared" si="13"/>
        <v>220.49479030945443</v>
      </c>
      <c r="BR16" s="3">
        <f t="shared" si="14"/>
        <v>41.778307588611796</v>
      </c>
      <c r="BS16" s="3">
        <f t="shared" si="15"/>
        <v>1980.9326337596588</v>
      </c>
      <c r="BT16" s="3">
        <f t="shared" si="16"/>
        <v>1536.2162992549352</v>
      </c>
      <c r="BU16" s="3">
        <f t="shared" si="17"/>
        <v>454.72795641639232</v>
      </c>
      <c r="BV16" s="3">
        <f t="shared" si="18"/>
        <v>373.97790290819034</v>
      </c>
      <c r="BW16" s="3">
        <f t="shared" si="19"/>
        <v>3189.9406273443265</v>
      </c>
      <c r="BX16" s="3">
        <f t="shared" si="20"/>
        <v>1757.639009306034</v>
      </c>
      <c r="BY16" s="3">
        <f t="shared" si="21"/>
        <v>597.33949525568778</v>
      </c>
      <c r="BZ16" s="3">
        <f t="shared" si="22"/>
        <v>240.71371616843942</v>
      </c>
      <c r="CA16" s="9">
        <f t="shared" si="25"/>
        <v>0.84787808647160523</v>
      </c>
      <c r="CB16" s="9">
        <f t="shared" si="23"/>
        <v>5.7742388921834511</v>
      </c>
      <c r="CC16" s="9">
        <f t="shared" si="23"/>
        <v>3.8298966991809364</v>
      </c>
      <c r="CD16" s="9">
        <f t="shared" si="23"/>
        <v>0.59114064296490931</v>
      </c>
      <c r="CE16" s="9">
        <f t="shared" si="23"/>
        <v>1.1144146283810401</v>
      </c>
      <c r="CF16" s="9">
        <f t="shared" si="23"/>
        <v>3.5459514844685742</v>
      </c>
      <c r="CG16" s="9">
        <f t="shared" si="23"/>
        <v>5.1732879335358515</v>
      </c>
      <c r="CH16" s="9">
        <f t="shared" si="23"/>
        <v>9.0892352812940143</v>
      </c>
      <c r="CI16" s="9">
        <f t="shared" si="26"/>
        <v>1.7135402420335915</v>
      </c>
    </row>
    <row r="17" spans="1:88" x14ac:dyDescent="0.25">
      <c r="A17">
        <v>1676</v>
      </c>
      <c r="B17" t="s">
        <v>185</v>
      </c>
      <c r="C17">
        <v>4.2645611130000001</v>
      </c>
      <c r="D17">
        <v>1.5635164669999999</v>
      </c>
      <c r="E17">
        <v>0.55805310399999997</v>
      </c>
      <c r="F17">
        <v>2.8017341999999998</v>
      </c>
      <c r="G17">
        <v>5.0828729999999999E-3</v>
      </c>
      <c r="H17" s="10">
        <f>G17/(69/81)</f>
        <v>5.9668509130434777E-3</v>
      </c>
      <c r="I17" s="5" t="s">
        <v>186</v>
      </c>
      <c r="J17" t="s">
        <v>187</v>
      </c>
      <c r="K17">
        <v>170</v>
      </c>
      <c r="L17">
        <v>328943</v>
      </c>
      <c r="M17">
        <v>639.58199999999999</v>
      </c>
      <c r="N17">
        <v>97</v>
      </c>
      <c r="O17">
        <v>0.97899999999999998</v>
      </c>
      <c r="P17" t="s">
        <v>36</v>
      </c>
      <c r="Q17" t="s">
        <v>188</v>
      </c>
      <c r="R17">
        <v>309297</v>
      </c>
      <c r="S17">
        <v>1E-3</v>
      </c>
      <c r="T17">
        <v>21</v>
      </c>
      <c r="U17" t="s">
        <v>90</v>
      </c>
      <c r="V17">
        <v>-1</v>
      </c>
      <c r="W17">
        <v>1641</v>
      </c>
      <c r="X17">
        <v>66</v>
      </c>
      <c r="Y17">
        <v>2379</v>
      </c>
      <c r="Z17">
        <v>324425</v>
      </c>
      <c r="AA17">
        <v>329</v>
      </c>
      <c r="AB17">
        <v>75</v>
      </c>
      <c r="AC17">
        <v>28</v>
      </c>
      <c r="AD17">
        <v>328943</v>
      </c>
      <c r="AE17">
        <v>5</v>
      </c>
      <c r="AF17">
        <v>4</v>
      </c>
      <c r="AG17">
        <v>3</v>
      </c>
      <c r="AH17">
        <v>7</v>
      </c>
      <c r="AI17">
        <v>4</v>
      </c>
      <c r="AJ17">
        <v>6</v>
      </c>
      <c r="AK17">
        <v>35</v>
      </c>
      <c r="AL17">
        <v>1</v>
      </c>
      <c r="AM17">
        <v>2</v>
      </c>
      <c r="AN17">
        <v>0</v>
      </c>
      <c r="AO17">
        <v>2</v>
      </c>
      <c r="AP17">
        <v>3</v>
      </c>
      <c r="AQ17">
        <v>0</v>
      </c>
      <c r="AR17">
        <v>9</v>
      </c>
      <c r="AS17">
        <v>4</v>
      </c>
      <c r="AT17">
        <v>3</v>
      </c>
      <c r="AU17">
        <v>2</v>
      </c>
      <c r="AV17">
        <v>0</v>
      </c>
      <c r="AW17">
        <v>1</v>
      </c>
      <c r="AX17">
        <v>1</v>
      </c>
      <c r="AY17">
        <v>6</v>
      </c>
      <c r="AZ17">
        <v>5</v>
      </c>
      <c r="BA17">
        <v>1</v>
      </c>
      <c r="BB17">
        <v>0</v>
      </c>
      <c r="BC17" s="3">
        <f t="shared" si="24"/>
        <v>56.342249869990262</v>
      </c>
      <c r="BD17" s="3">
        <f t="shared" si="0"/>
        <v>11.508569136722089</v>
      </c>
      <c r="BE17" s="3">
        <f t="shared" si="1"/>
        <v>9.5086409774882927</v>
      </c>
      <c r="BF17" s="3">
        <f t="shared" si="2"/>
        <v>53.402746732133352</v>
      </c>
      <c r="BG17" s="3">
        <f t="shared" si="3"/>
        <v>60.032342424481193</v>
      </c>
      <c r="BH17" s="3">
        <f t="shared" si="4"/>
        <v>44.120891242003083</v>
      </c>
      <c r="BI17" s="3">
        <f t="shared" si="5"/>
        <v>126.34147574063178</v>
      </c>
      <c r="BJ17" s="3">
        <f t="shared" si="6"/>
        <v>3.7597313596748885</v>
      </c>
      <c r="BK17" s="3">
        <f t="shared" si="7"/>
        <v>7.7663735054827692</v>
      </c>
      <c r="BL17" s="3">
        <f t="shared" si="8"/>
        <v>0</v>
      </c>
      <c r="BM17" s="3">
        <f t="shared" si="9"/>
        <v>7.1723624488812279</v>
      </c>
      <c r="BN17" s="3">
        <f t="shared" si="10"/>
        <v>9.2391626546886059</v>
      </c>
      <c r="BO17" s="3">
        <f t="shared" si="11"/>
        <v>0</v>
      </c>
      <c r="BP17" s="3">
        <f t="shared" si="12"/>
        <v>16.765889685661925</v>
      </c>
      <c r="BQ17" s="3">
        <f t="shared" si="13"/>
        <v>20.04498093722313</v>
      </c>
      <c r="BR17" s="3">
        <f t="shared" si="14"/>
        <v>13.926102529537264</v>
      </c>
      <c r="BS17" s="3">
        <f t="shared" si="15"/>
        <v>11.861872058441071</v>
      </c>
      <c r="BT17" s="3">
        <f t="shared" si="16"/>
        <v>0</v>
      </c>
      <c r="BU17" s="3">
        <f t="shared" si="17"/>
        <v>5.1673631410953673</v>
      </c>
      <c r="BV17" s="3">
        <f t="shared" si="18"/>
        <v>2.3820248592878368</v>
      </c>
      <c r="BW17" s="3">
        <f t="shared" si="19"/>
        <v>27.420693071727733</v>
      </c>
      <c r="BX17" s="3">
        <f t="shared" si="20"/>
        <v>14.770075708454065</v>
      </c>
      <c r="BY17" s="3">
        <f t="shared" si="21"/>
        <v>7.5612594336163008</v>
      </c>
      <c r="BZ17" s="3">
        <f t="shared" si="22"/>
        <v>0</v>
      </c>
      <c r="CA17" s="9">
        <f t="shared" si="25"/>
        <v>7.2546407702661666</v>
      </c>
      <c r="CB17" s="9"/>
      <c r="CC17" s="9">
        <f t="shared" si="23"/>
        <v>1.3257334727934011</v>
      </c>
      <c r="CD17" s="9">
        <f t="shared" si="23"/>
        <v>5.7800418423235591</v>
      </c>
      <c r="CE17" s="9">
        <f>BG17/1</f>
        <v>60.032342424481193</v>
      </c>
      <c r="CF17" s="9">
        <f t="shared" si="23"/>
        <v>2.6315866362722744</v>
      </c>
      <c r="CG17" s="9">
        <f t="shared" si="23"/>
        <v>6.30289827345349</v>
      </c>
      <c r="CH17" s="9">
        <f t="shared" si="23"/>
        <v>0.2699772855829905</v>
      </c>
      <c r="CI17" s="9">
        <f t="shared" si="26"/>
        <v>3.6160235996015055</v>
      </c>
    </row>
    <row r="18" spans="1:88" x14ac:dyDescent="0.25">
      <c r="A18">
        <v>2829</v>
      </c>
      <c r="B18" t="s">
        <v>189</v>
      </c>
      <c r="C18">
        <v>2049.2550630000001</v>
      </c>
      <c r="D18">
        <v>-0.808181708</v>
      </c>
      <c r="E18">
        <v>0.30000299699999999</v>
      </c>
      <c r="F18">
        <v>-2.6939121140000002</v>
      </c>
      <c r="G18">
        <v>7.0618779999999997E-3</v>
      </c>
      <c r="H18" s="10">
        <f>G18/(68/81)</f>
        <v>8.4119429117647058E-3</v>
      </c>
      <c r="I18" s="5" t="s">
        <v>190</v>
      </c>
      <c r="J18" t="s">
        <v>191</v>
      </c>
      <c r="K18">
        <v>301</v>
      </c>
      <c r="L18">
        <v>130547</v>
      </c>
      <c r="M18">
        <v>253.83</v>
      </c>
      <c r="N18">
        <v>1567</v>
      </c>
      <c r="O18">
        <v>0.186</v>
      </c>
      <c r="P18" t="s">
        <v>88</v>
      </c>
      <c r="Q18" t="s">
        <v>192</v>
      </c>
      <c r="R18">
        <v>74110</v>
      </c>
      <c r="S18">
        <v>3.0000000000000001E-3</v>
      </c>
      <c r="T18">
        <v>21</v>
      </c>
      <c r="U18" t="s">
        <v>43</v>
      </c>
      <c r="V18">
        <v>-1</v>
      </c>
      <c r="W18">
        <v>1985</v>
      </c>
      <c r="X18">
        <v>32</v>
      </c>
      <c r="Y18">
        <v>6821</v>
      </c>
      <c r="Z18">
        <v>101206</v>
      </c>
      <c r="AA18">
        <v>19489</v>
      </c>
      <c r="AB18">
        <v>958</v>
      </c>
      <c r="AC18">
        <v>56</v>
      </c>
      <c r="AD18">
        <v>130547</v>
      </c>
      <c r="AE18">
        <v>536</v>
      </c>
      <c r="AF18">
        <v>1751</v>
      </c>
      <c r="AG18">
        <v>12221</v>
      </c>
      <c r="AH18">
        <v>1015</v>
      </c>
      <c r="AI18">
        <v>186</v>
      </c>
      <c r="AJ18">
        <v>679</v>
      </c>
      <c r="AK18">
        <v>2274</v>
      </c>
      <c r="AL18">
        <v>2816</v>
      </c>
      <c r="AM18">
        <v>1462</v>
      </c>
      <c r="AN18">
        <v>2669</v>
      </c>
      <c r="AO18">
        <v>6020</v>
      </c>
      <c r="AP18">
        <v>6181</v>
      </c>
      <c r="AQ18">
        <v>2777</v>
      </c>
      <c r="AR18">
        <v>10924</v>
      </c>
      <c r="AS18">
        <v>1586</v>
      </c>
      <c r="AT18">
        <v>1530</v>
      </c>
      <c r="AU18">
        <v>398</v>
      </c>
      <c r="AV18">
        <v>1268</v>
      </c>
      <c r="AW18">
        <v>4632</v>
      </c>
      <c r="AX18">
        <v>2468</v>
      </c>
      <c r="AY18">
        <v>844</v>
      </c>
      <c r="AZ18">
        <v>2322</v>
      </c>
      <c r="BA18">
        <v>1989</v>
      </c>
      <c r="BB18">
        <v>372</v>
      </c>
      <c r="BC18" s="3">
        <f t="shared" si="24"/>
        <v>6039.8891860629556</v>
      </c>
      <c r="BD18" s="3">
        <f t="shared" si="0"/>
        <v>5037.8761396000946</v>
      </c>
      <c r="BE18" s="3">
        <f t="shared" si="1"/>
        <v>38735.03379529481</v>
      </c>
      <c r="BF18" s="3">
        <f t="shared" si="2"/>
        <v>7743.3982761593352</v>
      </c>
      <c r="BG18" s="3">
        <f t="shared" si="3"/>
        <v>2791.5039227383754</v>
      </c>
      <c r="BH18" s="3">
        <f t="shared" si="4"/>
        <v>4993.0141922200155</v>
      </c>
      <c r="BI18" s="3">
        <f t="shared" si="5"/>
        <v>8208.5861666913333</v>
      </c>
      <c r="BJ18" s="3">
        <f t="shared" si="6"/>
        <v>10587.403508844485</v>
      </c>
      <c r="BK18" s="3">
        <f t="shared" si="7"/>
        <v>5677.2190325079036</v>
      </c>
      <c r="BL18" s="3">
        <f t="shared" si="8"/>
        <v>9163.2547647465653</v>
      </c>
      <c r="BM18" s="3">
        <f t="shared" si="9"/>
        <v>21588.810971132498</v>
      </c>
      <c r="BN18" s="3">
        <f t="shared" si="10"/>
        <v>19035.754789543422</v>
      </c>
      <c r="BO18" s="3">
        <f t="shared" si="11"/>
        <v>13556.962185985705</v>
      </c>
      <c r="BP18" s="3">
        <f t="shared" si="12"/>
        <v>20350.064325130097</v>
      </c>
      <c r="BQ18" s="3">
        <f t="shared" si="13"/>
        <v>7947.8349416089704</v>
      </c>
      <c r="BR18" s="3">
        <f t="shared" si="14"/>
        <v>7102.3122900640037</v>
      </c>
      <c r="BS18" s="3">
        <f t="shared" si="15"/>
        <v>2360.5125396297731</v>
      </c>
      <c r="BT18" s="3">
        <f t="shared" si="16"/>
        <v>6365.7590439714304</v>
      </c>
      <c r="BU18" s="3">
        <f t="shared" si="17"/>
        <v>23935.226069553744</v>
      </c>
      <c r="BV18" s="3">
        <f t="shared" si="18"/>
        <v>5878.8373527223803</v>
      </c>
      <c r="BW18" s="3">
        <f t="shared" si="19"/>
        <v>3857.1774920897014</v>
      </c>
      <c r="BX18" s="3">
        <f t="shared" si="20"/>
        <v>6859.2231590060683</v>
      </c>
      <c r="BY18" s="3">
        <f t="shared" si="21"/>
        <v>15039.345013462822</v>
      </c>
      <c r="BZ18" s="3">
        <f t="shared" si="22"/>
        <v>11193.187801832433</v>
      </c>
      <c r="CA18" s="9">
        <f t="shared" si="25"/>
        <v>1.0638816560499769</v>
      </c>
      <c r="CB18" s="9">
        <f t="shared" si="23"/>
        <v>0.54979112432649146</v>
      </c>
      <c r="CC18" s="9">
        <f t="shared" si="23"/>
        <v>1.7942180255822984</v>
      </c>
      <c r="CD18" s="9">
        <f t="shared" si="23"/>
        <v>0.40678178311126811</v>
      </c>
      <c r="CE18" s="9">
        <f t="shared" si="23"/>
        <v>0.20590925049743433</v>
      </c>
      <c r="CF18" s="9">
        <f t="shared" si="23"/>
        <v>0.24535618720645472</v>
      </c>
      <c r="CG18" s="9">
        <f t="shared" si="23"/>
        <v>1.0328078309373616</v>
      </c>
      <c r="CH18" s="9">
        <f t="shared" si="23"/>
        <v>1.4906981101994143</v>
      </c>
      <c r="CI18" s="9">
        <f t="shared" si="26"/>
        <v>0.77982351286558882</v>
      </c>
    </row>
    <row r="19" spans="1:88" x14ac:dyDescent="0.25">
      <c r="A19">
        <v>30816</v>
      </c>
      <c r="B19" t="s">
        <v>193</v>
      </c>
      <c r="C19">
        <v>26.405993120000002</v>
      </c>
      <c r="D19">
        <v>1.6562422619999999</v>
      </c>
      <c r="E19">
        <v>0.61795424899999996</v>
      </c>
      <c r="F19">
        <v>2.6802020789999998</v>
      </c>
      <c r="G19">
        <v>7.3577729999999997E-3</v>
      </c>
      <c r="H19" s="10">
        <f>G19/(67/81)</f>
        <v>8.8952181044776122E-3</v>
      </c>
      <c r="I19" s="5" t="s">
        <v>479</v>
      </c>
      <c r="J19" t="s">
        <v>194</v>
      </c>
      <c r="K19">
        <v>147</v>
      </c>
      <c r="L19">
        <v>70461</v>
      </c>
      <c r="M19">
        <v>137.001</v>
      </c>
      <c r="N19">
        <v>11</v>
      </c>
      <c r="O19">
        <v>2E-3</v>
      </c>
      <c r="P19" t="s">
        <v>88</v>
      </c>
      <c r="Q19" t="s">
        <v>176</v>
      </c>
      <c r="R19">
        <v>59695</v>
      </c>
      <c r="S19">
        <v>4.0000000000000001E-3</v>
      </c>
      <c r="T19">
        <v>21</v>
      </c>
      <c r="U19" t="s">
        <v>90</v>
      </c>
      <c r="V19">
        <v>-1</v>
      </c>
      <c r="W19">
        <v>302</v>
      </c>
      <c r="X19">
        <v>21</v>
      </c>
      <c r="Y19">
        <v>6010</v>
      </c>
      <c r="Z19">
        <v>63121</v>
      </c>
      <c r="AA19">
        <v>360</v>
      </c>
      <c r="AB19">
        <v>79</v>
      </c>
      <c r="AC19">
        <v>568</v>
      </c>
      <c r="AD19">
        <v>70461</v>
      </c>
      <c r="AE19">
        <v>22</v>
      </c>
      <c r="AF19">
        <v>248</v>
      </c>
      <c r="AG19">
        <v>114</v>
      </c>
      <c r="AH19">
        <v>16</v>
      </c>
      <c r="AI19">
        <v>0</v>
      </c>
      <c r="AJ19">
        <v>40</v>
      </c>
      <c r="AK19">
        <v>168</v>
      </c>
      <c r="AL19">
        <v>79</v>
      </c>
      <c r="AM19">
        <v>40</v>
      </c>
      <c r="AN19">
        <v>12</v>
      </c>
      <c r="AO19">
        <v>10</v>
      </c>
      <c r="AP19">
        <v>34</v>
      </c>
      <c r="AQ19">
        <v>0</v>
      </c>
      <c r="AR19">
        <v>1</v>
      </c>
      <c r="AS19">
        <v>0</v>
      </c>
      <c r="AT19">
        <v>0</v>
      </c>
      <c r="AU19">
        <v>1</v>
      </c>
      <c r="AV19">
        <v>28</v>
      </c>
      <c r="AW19">
        <v>7</v>
      </c>
      <c r="AX19">
        <v>29</v>
      </c>
      <c r="AY19">
        <v>0</v>
      </c>
      <c r="AZ19">
        <v>13</v>
      </c>
      <c r="BA19">
        <v>28</v>
      </c>
      <c r="BB19">
        <v>1</v>
      </c>
      <c r="BC19" s="3">
        <f t="shared" si="24"/>
        <v>247.90589942795714</v>
      </c>
      <c r="BD19" s="3">
        <f t="shared" si="0"/>
        <v>713.53128647676954</v>
      </c>
      <c r="BE19" s="3">
        <f t="shared" si="1"/>
        <v>361.32835714455507</v>
      </c>
      <c r="BF19" s="3">
        <f t="shared" si="2"/>
        <v>122.06342110201909</v>
      </c>
      <c r="BG19" s="3">
        <f t="shared" si="3"/>
        <v>0</v>
      </c>
      <c r="BH19" s="3">
        <f t="shared" si="4"/>
        <v>294.13927494668724</v>
      </c>
      <c r="BI19" s="3">
        <f t="shared" si="5"/>
        <v>606.43908355503254</v>
      </c>
      <c r="BJ19" s="3">
        <f t="shared" si="6"/>
        <v>297.01877741431622</v>
      </c>
      <c r="BK19" s="3">
        <f t="shared" si="7"/>
        <v>155.32747010965537</v>
      </c>
      <c r="BL19" s="3">
        <f t="shared" si="8"/>
        <v>41.1985976683997</v>
      </c>
      <c r="BM19" s="3">
        <f t="shared" si="9"/>
        <v>35.861812244406138</v>
      </c>
      <c r="BN19" s="3">
        <f t="shared" si="10"/>
        <v>104.71051008647086</v>
      </c>
      <c r="BO19" s="3">
        <f t="shared" si="11"/>
        <v>0</v>
      </c>
      <c r="BP19" s="3">
        <f t="shared" si="12"/>
        <v>1.8628766317402137</v>
      </c>
      <c r="BQ19" s="3">
        <f t="shared" si="13"/>
        <v>0</v>
      </c>
      <c r="BR19" s="3">
        <f t="shared" si="14"/>
        <v>0</v>
      </c>
      <c r="BS19" s="3">
        <f t="shared" si="15"/>
        <v>5.9309360292205353</v>
      </c>
      <c r="BT19" s="3">
        <f t="shared" si="16"/>
        <v>140.56881169652999</v>
      </c>
      <c r="BU19" s="3">
        <f t="shared" si="17"/>
        <v>36.171541987667574</v>
      </c>
      <c r="BV19" s="3">
        <f t="shared" si="18"/>
        <v>69.078720919347248</v>
      </c>
      <c r="BW19" s="3">
        <f t="shared" si="19"/>
        <v>0</v>
      </c>
      <c r="BX19" s="3">
        <f t="shared" si="20"/>
        <v>38.402196841980576</v>
      </c>
      <c r="BY19" s="3">
        <f t="shared" si="21"/>
        <v>211.71526414125643</v>
      </c>
      <c r="BZ19" s="3">
        <f t="shared" si="22"/>
        <v>30.089214521054927</v>
      </c>
      <c r="CA19" s="9">
        <f t="shared" si="25"/>
        <v>1.5960209694585568</v>
      </c>
      <c r="CB19" s="9">
        <f t="shared" si="23"/>
        <v>17.319310045935495</v>
      </c>
      <c r="CC19" s="9">
        <f t="shared" si="23"/>
        <v>10.075574393229846</v>
      </c>
      <c r="CD19" s="9">
        <f t="shared" si="23"/>
        <v>1.1657227245022304</v>
      </c>
      <c r="CE19" s="9">
        <f>BG19/1</f>
        <v>0</v>
      </c>
      <c r="CF19" s="9">
        <f t="shared" si="23"/>
        <v>157.89519817633649</v>
      </c>
      <c r="CG19" s="9">
        <f>BI19/1</f>
        <v>606.43908355503254</v>
      </c>
      <c r="CH19" s="9">
        <f>BJ19/1</f>
        <v>297.01877741431622</v>
      </c>
      <c r="CI19" s="9">
        <f t="shared" si="26"/>
        <v>35.194686039180269</v>
      </c>
      <c r="CJ19" t="s">
        <v>474</v>
      </c>
    </row>
    <row r="20" spans="1:88" x14ac:dyDescent="0.25">
      <c r="A20">
        <v>38343</v>
      </c>
      <c r="B20" t="s">
        <v>195</v>
      </c>
      <c r="C20">
        <v>594.94491370000003</v>
      </c>
      <c r="D20">
        <v>-0.78108646900000001</v>
      </c>
      <c r="E20">
        <v>0.29783125999999999</v>
      </c>
      <c r="F20">
        <v>-2.622580546</v>
      </c>
      <c r="G20">
        <v>8.7266640000000003E-3</v>
      </c>
      <c r="H20" s="10">
        <f>G20/(66/81)</f>
        <v>1.0709996727272728E-2</v>
      </c>
      <c r="I20" s="5" t="s">
        <v>196</v>
      </c>
      <c r="J20" t="s">
        <v>197</v>
      </c>
      <c r="K20">
        <v>257</v>
      </c>
      <c r="L20">
        <v>38401</v>
      </c>
      <c r="M20">
        <v>74.665000000000006</v>
      </c>
      <c r="N20">
        <v>470</v>
      </c>
      <c r="O20">
        <v>0.83699999999999997</v>
      </c>
      <c r="P20" t="s">
        <v>36</v>
      </c>
      <c r="Q20" t="s">
        <v>192</v>
      </c>
      <c r="R20">
        <v>22479</v>
      </c>
      <c r="S20">
        <v>8.0000000000000002E-3</v>
      </c>
      <c r="T20">
        <v>21</v>
      </c>
      <c r="U20" t="s">
        <v>43</v>
      </c>
      <c r="V20">
        <v>-1</v>
      </c>
      <c r="W20">
        <v>583</v>
      </c>
      <c r="X20">
        <v>32</v>
      </c>
      <c r="Y20">
        <v>1698</v>
      </c>
      <c r="Z20">
        <v>30286</v>
      </c>
      <c r="AA20">
        <v>5660</v>
      </c>
      <c r="AB20">
        <v>93</v>
      </c>
      <c r="AC20">
        <v>49</v>
      </c>
      <c r="AD20">
        <v>38401</v>
      </c>
      <c r="AE20">
        <v>169</v>
      </c>
      <c r="AF20">
        <v>516</v>
      </c>
      <c r="AG20">
        <v>3550</v>
      </c>
      <c r="AH20">
        <v>293</v>
      </c>
      <c r="AI20">
        <v>45</v>
      </c>
      <c r="AJ20">
        <v>209</v>
      </c>
      <c r="AK20">
        <v>654</v>
      </c>
      <c r="AL20">
        <v>806</v>
      </c>
      <c r="AM20">
        <v>407</v>
      </c>
      <c r="AN20">
        <v>773</v>
      </c>
      <c r="AO20">
        <v>1739</v>
      </c>
      <c r="AP20">
        <v>1762</v>
      </c>
      <c r="AQ20">
        <v>735</v>
      </c>
      <c r="AR20">
        <v>3254</v>
      </c>
      <c r="AS20">
        <v>496</v>
      </c>
      <c r="AT20">
        <v>443</v>
      </c>
      <c r="AU20">
        <v>130</v>
      </c>
      <c r="AV20">
        <v>407</v>
      </c>
      <c r="AW20">
        <v>1286</v>
      </c>
      <c r="AX20">
        <v>603</v>
      </c>
      <c r="AY20">
        <v>240</v>
      </c>
      <c r="AZ20">
        <v>718</v>
      </c>
      <c r="BA20">
        <v>653</v>
      </c>
      <c r="BB20">
        <v>105</v>
      </c>
      <c r="BC20" s="3">
        <f t="shared" si="24"/>
        <v>1904.3680456056709</v>
      </c>
      <c r="BD20" s="3">
        <f t="shared" si="0"/>
        <v>1484.6054186371496</v>
      </c>
      <c r="BE20" s="3">
        <f t="shared" si="1"/>
        <v>11251.891823361148</v>
      </c>
      <c r="BF20" s="3">
        <f t="shared" si="2"/>
        <v>2235.2863989307243</v>
      </c>
      <c r="BG20" s="3">
        <f t="shared" si="3"/>
        <v>675.36385227541336</v>
      </c>
      <c r="BH20" s="3">
        <f t="shared" si="4"/>
        <v>1536.877711596441</v>
      </c>
      <c r="BI20" s="3">
        <f t="shared" si="5"/>
        <v>2360.7807181249482</v>
      </c>
      <c r="BJ20" s="3">
        <f t="shared" si="6"/>
        <v>3030.3434758979602</v>
      </c>
      <c r="BK20" s="3">
        <f t="shared" si="7"/>
        <v>1580.4570083657434</v>
      </c>
      <c r="BL20" s="3">
        <f t="shared" si="8"/>
        <v>2653.8763331394139</v>
      </c>
      <c r="BM20" s="3">
        <f t="shared" si="9"/>
        <v>6236.369149302227</v>
      </c>
      <c r="BN20" s="3">
        <f t="shared" si="10"/>
        <v>5426.4681991871075</v>
      </c>
      <c r="BO20" s="3">
        <f t="shared" si="11"/>
        <v>3588.1768839393203</v>
      </c>
      <c r="BP20" s="3">
        <f t="shared" si="12"/>
        <v>6061.8005596826551</v>
      </c>
      <c r="BQ20" s="3">
        <f t="shared" si="13"/>
        <v>2485.577636215668</v>
      </c>
      <c r="BR20" s="3">
        <f t="shared" si="14"/>
        <v>2056.4211401950029</v>
      </c>
      <c r="BS20" s="3">
        <f t="shared" si="15"/>
        <v>771.02168379866964</v>
      </c>
      <c r="BT20" s="3">
        <f t="shared" si="16"/>
        <v>2043.2680843031326</v>
      </c>
      <c r="BU20" s="3">
        <f t="shared" si="17"/>
        <v>6645.2289994486428</v>
      </c>
      <c r="BV20" s="3">
        <f t="shared" si="18"/>
        <v>1436.3609901505654</v>
      </c>
      <c r="BW20" s="3">
        <f t="shared" si="19"/>
        <v>1096.8277228691093</v>
      </c>
      <c r="BX20" s="3">
        <f t="shared" si="20"/>
        <v>2120.9828717340042</v>
      </c>
      <c r="BY20" s="3">
        <f t="shared" si="21"/>
        <v>4937.5024101514446</v>
      </c>
      <c r="BZ20" s="3">
        <f t="shared" si="22"/>
        <v>3159.3675247107672</v>
      </c>
      <c r="CA20" s="9">
        <f t="shared" si="25"/>
        <v>1.2049477053316779</v>
      </c>
      <c r="CB20" s="9">
        <f t="shared" si="23"/>
        <v>0.55941017299812512</v>
      </c>
      <c r="CC20" s="9">
        <f t="shared" si="23"/>
        <v>1.8042376187144238</v>
      </c>
      <c r="CD20" s="9">
        <f t="shared" si="23"/>
        <v>0.41192287817434797</v>
      </c>
      <c r="CE20" s="9">
        <f t="shared" si="23"/>
        <v>0.18821921943099906</v>
      </c>
      <c r="CF20" s="9">
        <f t="shared" si="23"/>
        <v>0.25353485263409903</v>
      </c>
      <c r="CG20" s="9">
        <f t="shared" si="23"/>
        <v>0.94979158314253054</v>
      </c>
      <c r="CH20" s="9">
        <f t="shared" si="23"/>
        <v>1.4736006242430497</v>
      </c>
      <c r="CI20" s="9">
        <f t="shared" si="26"/>
        <v>0.71979225049886875</v>
      </c>
    </row>
    <row r="21" spans="1:88" x14ac:dyDescent="0.25">
      <c r="A21">
        <v>19272</v>
      </c>
      <c r="B21" t="s">
        <v>198</v>
      </c>
      <c r="C21">
        <v>127.4931661</v>
      </c>
      <c r="D21">
        <v>0.81741642400000003</v>
      </c>
      <c r="E21">
        <v>0.31582492099999998</v>
      </c>
      <c r="F21">
        <v>2.5881948220000002</v>
      </c>
      <c r="G21">
        <v>9.6480400000000001E-3</v>
      </c>
      <c r="H21" s="10">
        <f>G21/(65/81)</f>
        <v>1.2022942153846155E-2</v>
      </c>
      <c r="I21" s="5" t="s">
        <v>199</v>
      </c>
      <c r="J21" t="s">
        <v>200</v>
      </c>
      <c r="K21">
        <v>1950</v>
      </c>
      <c r="L21">
        <v>18938</v>
      </c>
      <c r="M21">
        <v>36.822000000000003</v>
      </c>
      <c r="N21">
        <v>11351</v>
      </c>
      <c r="O21">
        <v>0.90100000000000002</v>
      </c>
      <c r="P21" t="s">
        <v>36</v>
      </c>
      <c r="Q21" t="s">
        <v>201</v>
      </c>
      <c r="R21">
        <v>4887</v>
      </c>
      <c r="S21">
        <v>8.5999999999999993E-2</v>
      </c>
      <c r="T21">
        <v>24</v>
      </c>
      <c r="U21" t="s">
        <v>49</v>
      </c>
      <c r="V21">
        <v>-1</v>
      </c>
      <c r="W21">
        <v>124</v>
      </c>
      <c r="X21">
        <v>598</v>
      </c>
      <c r="Y21">
        <v>414</v>
      </c>
      <c r="Z21">
        <v>1447</v>
      </c>
      <c r="AA21">
        <v>6152</v>
      </c>
      <c r="AB21">
        <v>1197</v>
      </c>
      <c r="AC21">
        <v>9006</v>
      </c>
      <c r="AD21">
        <v>18938</v>
      </c>
      <c r="AE21">
        <v>233</v>
      </c>
      <c r="AF21">
        <v>207</v>
      </c>
      <c r="AG21">
        <v>227</v>
      </c>
      <c r="AH21">
        <v>74</v>
      </c>
      <c r="AI21">
        <v>61</v>
      </c>
      <c r="AJ21">
        <v>213</v>
      </c>
      <c r="AK21">
        <v>198</v>
      </c>
      <c r="AL21">
        <v>111</v>
      </c>
      <c r="AM21">
        <v>485</v>
      </c>
      <c r="AN21">
        <v>75</v>
      </c>
      <c r="AO21">
        <v>108</v>
      </c>
      <c r="AP21">
        <v>134</v>
      </c>
      <c r="AQ21">
        <v>102</v>
      </c>
      <c r="AR21">
        <v>365</v>
      </c>
      <c r="AS21">
        <v>31</v>
      </c>
      <c r="AT21">
        <v>32</v>
      </c>
      <c r="AU21">
        <v>90</v>
      </c>
      <c r="AV21">
        <v>100</v>
      </c>
      <c r="AW21">
        <v>24</v>
      </c>
      <c r="AX21">
        <v>103</v>
      </c>
      <c r="AY21">
        <v>179</v>
      </c>
      <c r="AZ21">
        <v>272</v>
      </c>
      <c r="BA21">
        <v>45</v>
      </c>
      <c r="BB21">
        <v>7</v>
      </c>
      <c r="BC21" s="3">
        <f t="shared" si="24"/>
        <v>2625.5488439415462</v>
      </c>
      <c r="BD21" s="3">
        <f t="shared" si="0"/>
        <v>595.56845282536813</v>
      </c>
      <c r="BE21" s="3">
        <f t="shared" si="1"/>
        <v>719.48716729661419</v>
      </c>
      <c r="BF21" s="3">
        <f t="shared" si="2"/>
        <v>564.54332259683827</v>
      </c>
      <c r="BG21" s="3">
        <f t="shared" si="3"/>
        <v>915.49322197333811</v>
      </c>
      <c r="BH21" s="3">
        <f t="shared" si="4"/>
        <v>1566.2916390911096</v>
      </c>
      <c r="BI21" s="3">
        <f t="shared" si="5"/>
        <v>714.73177704700265</v>
      </c>
      <c r="BJ21" s="3">
        <f t="shared" si="6"/>
        <v>417.33018092391262</v>
      </c>
      <c r="BK21" s="3">
        <f t="shared" si="7"/>
        <v>1883.3455750795713</v>
      </c>
      <c r="BL21" s="3">
        <f t="shared" si="8"/>
        <v>257.49123542749811</v>
      </c>
      <c r="BM21" s="3">
        <f t="shared" si="9"/>
        <v>387.30757223958631</v>
      </c>
      <c r="BN21" s="3">
        <f t="shared" si="10"/>
        <v>412.68259857609104</v>
      </c>
      <c r="BO21" s="3">
        <f t="shared" si="11"/>
        <v>497.95107777117101</v>
      </c>
      <c r="BP21" s="3">
        <f t="shared" si="12"/>
        <v>679.94997058517788</v>
      </c>
      <c r="BQ21" s="3">
        <f t="shared" si="13"/>
        <v>155.34860226347925</v>
      </c>
      <c r="BR21" s="3">
        <f t="shared" si="14"/>
        <v>148.54509364839748</v>
      </c>
      <c r="BS21" s="3">
        <f t="shared" si="15"/>
        <v>533.78424262984822</v>
      </c>
      <c r="BT21" s="3">
        <f t="shared" si="16"/>
        <v>502.03147034475001</v>
      </c>
      <c r="BU21" s="3">
        <f t="shared" si="17"/>
        <v>124.01671538628882</v>
      </c>
      <c r="BV21" s="3">
        <f t="shared" si="18"/>
        <v>245.34856050664717</v>
      </c>
      <c r="BW21" s="3">
        <f t="shared" si="19"/>
        <v>818.05067663987745</v>
      </c>
      <c r="BX21" s="3">
        <f t="shared" si="20"/>
        <v>803.49211853990118</v>
      </c>
      <c r="BY21" s="3">
        <f t="shared" si="21"/>
        <v>340.25667451273353</v>
      </c>
      <c r="BZ21" s="3">
        <f t="shared" si="22"/>
        <v>210.62450164738448</v>
      </c>
      <c r="CA21" s="9">
        <f t="shared" si="25"/>
        <v>1.3940876696676427</v>
      </c>
      <c r="CB21" s="9">
        <f t="shared" si="23"/>
        <v>2.3129659222636434</v>
      </c>
      <c r="CC21" s="9">
        <f t="shared" si="23"/>
        <v>1.8576635699018647</v>
      </c>
      <c r="CD21" s="9">
        <f t="shared" si="23"/>
        <v>1.3679843166266845</v>
      </c>
      <c r="CE21" s="9">
        <f t="shared" si="23"/>
        <v>1.838520414638092</v>
      </c>
      <c r="CF21" s="9">
        <f t="shared" si="23"/>
        <v>2.3035395350383339</v>
      </c>
      <c r="CG21" s="9">
        <f t="shared" si="23"/>
        <v>4.6008252834794137</v>
      </c>
      <c r="CH21" s="9">
        <f t="shared" si="23"/>
        <v>2.809451128097995</v>
      </c>
      <c r="CI21" s="9">
        <f t="shared" si="26"/>
        <v>1.666354219512751</v>
      </c>
    </row>
    <row r="22" spans="1:88" x14ac:dyDescent="0.25">
      <c r="A22">
        <v>26392</v>
      </c>
      <c r="B22" t="s">
        <v>202</v>
      </c>
      <c r="C22">
        <v>17.356044820000001</v>
      </c>
      <c r="D22">
        <v>1.42628412</v>
      </c>
      <c r="E22">
        <v>0.55527227599999995</v>
      </c>
      <c r="F22">
        <v>2.5686211619999999</v>
      </c>
      <c r="G22">
        <v>1.0210400999999999E-2</v>
      </c>
      <c r="H22" s="10">
        <f>G22/(64/81)</f>
        <v>1.2922538765625E-2</v>
      </c>
      <c r="I22" s="5" t="s">
        <v>203</v>
      </c>
      <c r="J22" t="s">
        <v>204</v>
      </c>
      <c r="K22">
        <v>255</v>
      </c>
      <c r="L22">
        <v>14812</v>
      </c>
      <c r="M22">
        <v>28.8</v>
      </c>
      <c r="N22">
        <v>10957</v>
      </c>
      <c r="O22">
        <v>4.0000000000000001E-3</v>
      </c>
      <c r="P22" t="s">
        <v>88</v>
      </c>
      <c r="Q22" t="s">
        <v>205</v>
      </c>
      <c r="R22">
        <v>7253</v>
      </c>
      <c r="S22">
        <v>1.4999999999999999E-2</v>
      </c>
      <c r="T22">
        <v>20</v>
      </c>
      <c r="U22" t="s">
        <v>206</v>
      </c>
      <c r="V22">
        <v>-1</v>
      </c>
      <c r="W22">
        <v>103</v>
      </c>
      <c r="X22">
        <v>24</v>
      </c>
      <c r="Y22">
        <v>7588</v>
      </c>
      <c r="Z22">
        <v>6870</v>
      </c>
      <c r="AA22">
        <v>78</v>
      </c>
      <c r="AB22">
        <v>115</v>
      </c>
      <c r="AC22">
        <v>34</v>
      </c>
      <c r="AD22">
        <v>14812</v>
      </c>
      <c r="AE22">
        <v>20</v>
      </c>
      <c r="AF22">
        <v>12</v>
      </c>
      <c r="AG22">
        <v>0</v>
      </c>
      <c r="AH22">
        <v>1</v>
      </c>
      <c r="AI22">
        <v>10</v>
      </c>
      <c r="AJ22">
        <v>9</v>
      </c>
      <c r="AK22">
        <v>28</v>
      </c>
      <c r="AL22">
        <v>20</v>
      </c>
      <c r="AM22">
        <v>37</v>
      </c>
      <c r="AN22">
        <v>2</v>
      </c>
      <c r="AO22">
        <v>0</v>
      </c>
      <c r="AP22">
        <v>9</v>
      </c>
      <c r="AQ22">
        <v>10</v>
      </c>
      <c r="AR22">
        <v>1</v>
      </c>
      <c r="AS22">
        <v>1</v>
      </c>
      <c r="AT22">
        <v>0</v>
      </c>
      <c r="AU22">
        <v>55</v>
      </c>
      <c r="AV22">
        <v>21</v>
      </c>
      <c r="AW22">
        <v>0</v>
      </c>
      <c r="AX22">
        <v>50</v>
      </c>
      <c r="AY22">
        <v>38</v>
      </c>
      <c r="AZ22">
        <v>100</v>
      </c>
      <c r="BA22">
        <v>6</v>
      </c>
      <c r="BB22">
        <v>3</v>
      </c>
      <c r="BC22" s="3">
        <f t="shared" si="24"/>
        <v>225.36899947996105</v>
      </c>
      <c r="BD22" s="3">
        <f t="shared" si="0"/>
        <v>34.52570741016627</v>
      </c>
      <c r="BE22" s="3">
        <f t="shared" si="1"/>
        <v>0</v>
      </c>
      <c r="BF22" s="3">
        <f t="shared" si="2"/>
        <v>7.6289638188761932</v>
      </c>
      <c r="BG22" s="3">
        <f t="shared" si="3"/>
        <v>150.08085606120298</v>
      </c>
      <c r="BH22" s="3">
        <f t="shared" si="4"/>
        <v>66.181336863004631</v>
      </c>
      <c r="BI22" s="3">
        <f t="shared" si="5"/>
        <v>101.07318059250542</v>
      </c>
      <c r="BJ22" s="3">
        <f t="shared" si="6"/>
        <v>75.194627193497766</v>
      </c>
      <c r="BK22" s="3">
        <f t="shared" si="7"/>
        <v>143.67790985143122</v>
      </c>
      <c r="BL22" s="3">
        <f t="shared" si="8"/>
        <v>6.8664329447332833</v>
      </c>
      <c r="BM22" s="3">
        <f t="shared" si="9"/>
        <v>0</v>
      </c>
      <c r="BN22" s="3">
        <f t="shared" si="10"/>
        <v>27.717487964065818</v>
      </c>
      <c r="BO22" s="3">
        <f t="shared" si="11"/>
        <v>48.818733114820688</v>
      </c>
      <c r="BP22" s="3">
        <f t="shared" si="12"/>
        <v>1.8628766317402137</v>
      </c>
      <c r="BQ22" s="3">
        <f t="shared" si="13"/>
        <v>5.0112452343057825</v>
      </c>
      <c r="BR22" s="3">
        <f t="shared" si="14"/>
        <v>0</v>
      </c>
      <c r="BS22" s="3">
        <f t="shared" si="15"/>
        <v>326.20148160712949</v>
      </c>
      <c r="BT22" s="3">
        <f t="shared" si="16"/>
        <v>105.4266087723975</v>
      </c>
      <c r="BU22" s="3">
        <f t="shared" si="17"/>
        <v>0</v>
      </c>
      <c r="BV22" s="3">
        <f t="shared" si="18"/>
        <v>119.10124296439182</v>
      </c>
      <c r="BW22" s="3">
        <f t="shared" si="19"/>
        <v>173.66438945427564</v>
      </c>
      <c r="BX22" s="3">
        <f t="shared" si="20"/>
        <v>295.40151416908134</v>
      </c>
      <c r="BY22" s="3">
        <f t="shared" si="21"/>
        <v>45.3675566016978</v>
      </c>
      <c r="BZ22" s="3">
        <f t="shared" si="22"/>
        <v>90.267643563164796</v>
      </c>
      <c r="CA22" s="9">
        <f t="shared" si="25"/>
        <v>1.5685709773548469</v>
      </c>
      <c r="CB22" s="9">
        <f t="shared" si="25"/>
        <v>5.02818678752966</v>
      </c>
      <c r="CC22" s="9"/>
      <c r="CD22" s="9">
        <f t="shared" si="25"/>
        <v>0.27524008772969327</v>
      </c>
      <c r="CE22" s="9">
        <f t="shared" si="25"/>
        <v>3.0742472507063181</v>
      </c>
      <c r="CF22" s="9">
        <f t="shared" si="25"/>
        <v>35.526419589675712</v>
      </c>
      <c r="CG22" s="9">
        <f t="shared" si="25"/>
        <v>20.169274475051168</v>
      </c>
      <c r="CH22" s="9">
        <f>BJ22/1</f>
        <v>75.194627193497766</v>
      </c>
      <c r="CI22" s="9">
        <f t="shared" si="26"/>
        <v>14.620701073629816</v>
      </c>
      <c r="CJ22" t="s">
        <v>473</v>
      </c>
    </row>
    <row r="23" spans="1:88" x14ac:dyDescent="0.25">
      <c r="A23">
        <v>38316</v>
      </c>
      <c r="B23" t="s">
        <v>207</v>
      </c>
      <c r="C23">
        <v>207.3072013</v>
      </c>
      <c r="D23">
        <v>-0.78422833400000003</v>
      </c>
      <c r="E23">
        <v>0.30584756699999999</v>
      </c>
      <c r="F23">
        <v>-2.564115004</v>
      </c>
      <c r="G23">
        <v>1.0343926E-2</v>
      </c>
      <c r="H23" s="10">
        <f>G23/(63/81)</f>
        <v>1.3299333428571428E-2</v>
      </c>
      <c r="I23" s="5" t="s">
        <v>208</v>
      </c>
      <c r="J23" t="s">
        <v>209</v>
      </c>
      <c r="K23">
        <v>396</v>
      </c>
      <c r="L23">
        <v>13357</v>
      </c>
      <c r="M23">
        <v>25.971</v>
      </c>
      <c r="N23">
        <v>165</v>
      </c>
      <c r="O23">
        <v>0.83299999999999996</v>
      </c>
      <c r="P23" t="s">
        <v>36</v>
      </c>
      <c r="Q23" t="s">
        <v>192</v>
      </c>
      <c r="R23">
        <v>7764</v>
      </c>
      <c r="S23">
        <v>1.4E-2</v>
      </c>
      <c r="T23">
        <v>21</v>
      </c>
      <c r="U23" t="s">
        <v>210</v>
      </c>
      <c r="V23">
        <v>-1</v>
      </c>
      <c r="W23">
        <v>174</v>
      </c>
      <c r="X23">
        <v>17</v>
      </c>
      <c r="Y23">
        <v>620</v>
      </c>
      <c r="Z23">
        <v>10410</v>
      </c>
      <c r="AA23">
        <v>2027</v>
      </c>
      <c r="AB23">
        <v>89</v>
      </c>
      <c r="AC23">
        <v>20</v>
      </c>
      <c r="AD23">
        <v>13357</v>
      </c>
      <c r="AE23">
        <v>41</v>
      </c>
      <c r="AF23">
        <v>152</v>
      </c>
      <c r="AG23">
        <v>1256</v>
      </c>
      <c r="AH23">
        <v>108</v>
      </c>
      <c r="AI23">
        <v>23</v>
      </c>
      <c r="AJ23">
        <v>90</v>
      </c>
      <c r="AK23">
        <v>216</v>
      </c>
      <c r="AL23">
        <v>277</v>
      </c>
      <c r="AM23">
        <v>151</v>
      </c>
      <c r="AN23">
        <v>264</v>
      </c>
      <c r="AO23">
        <v>617</v>
      </c>
      <c r="AP23">
        <v>653</v>
      </c>
      <c r="AQ23">
        <v>255</v>
      </c>
      <c r="AR23">
        <v>1130</v>
      </c>
      <c r="AS23">
        <v>161</v>
      </c>
      <c r="AT23">
        <v>148</v>
      </c>
      <c r="AU23">
        <v>42</v>
      </c>
      <c r="AV23">
        <v>120</v>
      </c>
      <c r="AW23">
        <v>454</v>
      </c>
      <c r="AX23">
        <v>245</v>
      </c>
      <c r="AY23">
        <v>75</v>
      </c>
      <c r="AZ23">
        <v>269</v>
      </c>
      <c r="BA23">
        <v>209</v>
      </c>
      <c r="BB23">
        <v>38</v>
      </c>
      <c r="BC23" s="3">
        <f t="shared" si="24"/>
        <v>462.00644893392007</v>
      </c>
      <c r="BD23" s="3">
        <f t="shared" si="0"/>
        <v>437.32562719543938</v>
      </c>
      <c r="BE23" s="3">
        <f t="shared" si="1"/>
        <v>3980.9510225750987</v>
      </c>
      <c r="BF23" s="3">
        <f t="shared" si="2"/>
        <v>823.92809243862882</v>
      </c>
      <c r="BG23" s="3">
        <f t="shared" si="3"/>
        <v>345.18596894076683</v>
      </c>
      <c r="BH23" s="3">
        <f t="shared" si="4"/>
        <v>661.8133686300464</v>
      </c>
      <c r="BI23" s="3">
        <f t="shared" si="5"/>
        <v>779.70739314218474</v>
      </c>
      <c r="BJ23" s="3">
        <f t="shared" si="6"/>
        <v>1041.4455866299443</v>
      </c>
      <c r="BK23" s="3">
        <f t="shared" si="7"/>
        <v>586.36119966394904</v>
      </c>
      <c r="BL23" s="3">
        <f t="shared" si="8"/>
        <v>906.36914870479336</v>
      </c>
      <c r="BM23" s="3">
        <f t="shared" si="9"/>
        <v>2212.6738154798591</v>
      </c>
      <c r="BN23" s="3">
        <f t="shared" si="10"/>
        <v>2011.0577378372197</v>
      </c>
      <c r="BO23" s="3">
        <f t="shared" si="11"/>
        <v>1244.8776944279275</v>
      </c>
      <c r="BP23" s="3">
        <f t="shared" si="12"/>
        <v>2105.0505938664414</v>
      </c>
      <c r="BQ23" s="3">
        <f t="shared" si="13"/>
        <v>806.81048272323096</v>
      </c>
      <c r="BR23" s="3">
        <f t="shared" si="14"/>
        <v>687.02105812383832</v>
      </c>
      <c r="BS23" s="3">
        <f t="shared" si="15"/>
        <v>249.09931322726248</v>
      </c>
      <c r="BT23" s="3">
        <f t="shared" si="16"/>
        <v>602.43776441370005</v>
      </c>
      <c r="BU23" s="3">
        <f t="shared" si="17"/>
        <v>2345.9828660572971</v>
      </c>
      <c r="BV23" s="3">
        <f t="shared" si="18"/>
        <v>583.59609052551991</v>
      </c>
      <c r="BW23" s="3">
        <f t="shared" si="19"/>
        <v>342.75866339659666</v>
      </c>
      <c r="BX23" s="3">
        <f t="shared" si="20"/>
        <v>794.63007311482875</v>
      </c>
      <c r="BY23" s="3">
        <f t="shared" si="21"/>
        <v>1580.3032216258068</v>
      </c>
      <c r="BZ23" s="3">
        <f t="shared" si="22"/>
        <v>1143.3901518000873</v>
      </c>
      <c r="CA23" s="9">
        <f t="shared" ref="CA23:CH43" si="27">BC23/BK23</f>
        <v>0.78792124922096096</v>
      </c>
      <c r="CB23" s="9">
        <f t="shared" si="27"/>
        <v>0.48250277254072493</v>
      </c>
      <c r="CC23" s="9">
        <f t="shared" si="27"/>
        <v>1.7991585541096831</v>
      </c>
      <c r="CD23" s="9">
        <f t="shared" si="27"/>
        <v>0.40969887484419887</v>
      </c>
      <c r="CE23" s="9">
        <f t="shared" si="27"/>
        <v>0.27728504614213845</v>
      </c>
      <c r="CF23" s="9">
        <f t="shared" si="27"/>
        <v>0.31439309371394436</v>
      </c>
      <c r="CG23" s="9">
        <f t="shared" si="27"/>
        <v>0.96640711770431509</v>
      </c>
      <c r="CH23" s="9">
        <f t="shared" si="27"/>
        <v>1.5158859751315215</v>
      </c>
      <c r="CI23" s="9">
        <f t="shared" si="26"/>
        <v>0.88350749320946997</v>
      </c>
    </row>
    <row r="24" spans="1:88" x14ac:dyDescent="0.25">
      <c r="A24">
        <v>15253</v>
      </c>
      <c r="B24" t="s">
        <v>114</v>
      </c>
      <c r="C24">
        <v>8.8971540410000003</v>
      </c>
      <c r="D24">
        <v>1.5003568519999999</v>
      </c>
      <c r="E24">
        <v>0.59734069000000001</v>
      </c>
      <c r="F24">
        <v>2.5117271890000001</v>
      </c>
      <c r="G24">
        <v>1.2014192999999999E-2</v>
      </c>
      <c r="H24" s="10">
        <f>G24/(62/81)</f>
        <v>1.5695961822580644E-2</v>
      </c>
      <c r="I24" s="5" t="s">
        <v>115</v>
      </c>
      <c r="J24" t="s">
        <v>116</v>
      </c>
      <c r="K24">
        <v>347</v>
      </c>
      <c r="L24">
        <v>10610</v>
      </c>
      <c r="M24">
        <v>20.63</v>
      </c>
      <c r="N24">
        <v>10602</v>
      </c>
      <c r="O24">
        <v>0.995</v>
      </c>
      <c r="P24" t="s">
        <v>36</v>
      </c>
      <c r="Q24" t="s">
        <v>117</v>
      </c>
      <c r="R24">
        <v>5226</v>
      </c>
      <c r="S24">
        <v>2.1000000000000001E-2</v>
      </c>
      <c r="T24">
        <v>20</v>
      </c>
      <c r="U24" t="s">
        <v>43</v>
      </c>
      <c r="V24">
        <v>-1</v>
      </c>
      <c r="W24">
        <v>379</v>
      </c>
      <c r="X24">
        <v>10</v>
      </c>
      <c r="Y24">
        <v>5516</v>
      </c>
      <c r="Z24">
        <v>4273</v>
      </c>
      <c r="AA24">
        <v>349</v>
      </c>
      <c r="AB24">
        <v>54</v>
      </c>
      <c r="AC24">
        <v>29</v>
      </c>
      <c r="AD24">
        <v>10610</v>
      </c>
      <c r="AE24">
        <v>47</v>
      </c>
      <c r="AF24">
        <v>9</v>
      </c>
      <c r="AG24">
        <v>7</v>
      </c>
      <c r="AH24">
        <v>1</v>
      </c>
      <c r="AI24">
        <v>0</v>
      </c>
      <c r="AJ24">
        <v>3</v>
      </c>
      <c r="AK24">
        <v>22</v>
      </c>
      <c r="AL24">
        <v>5</v>
      </c>
      <c r="AM24">
        <v>3</v>
      </c>
      <c r="AN24">
        <v>15</v>
      </c>
      <c r="AO24">
        <v>1</v>
      </c>
      <c r="AP24">
        <v>18</v>
      </c>
      <c r="AQ24">
        <v>0</v>
      </c>
      <c r="AR24">
        <v>1</v>
      </c>
      <c r="AS24">
        <v>0</v>
      </c>
      <c r="AT24">
        <v>0</v>
      </c>
      <c r="AU24">
        <v>8</v>
      </c>
      <c r="AV24">
        <v>3</v>
      </c>
      <c r="AW24">
        <v>9</v>
      </c>
      <c r="AX24">
        <v>22</v>
      </c>
      <c r="AY24">
        <v>2</v>
      </c>
      <c r="AZ24">
        <v>10</v>
      </c>
      <c r="BA24">
        <v>0</v>
      </c>
      <c r="BB24">
        <v>3</v>
      </c>
      <c r="BC24" s="3">
        <f t="shared" si="24"/>
        <v>529.61714877790848</v>
      </c>
      <c r="BD24" s="3">
        <f t="shared" si="0"/>
        <v>25.8942805576247</v>
      </c>
      <c r="BE24" s="3">
        <f t="shared" si="1"/>
        <v>22.18682894747268</v>
      </c>
      <c r="BF24" s="3">
        <f t="shared" si="2"/>
        <v>7.6289638188761932</v>
      </c>
      <c r="BG24" s="3">
        <f t="shared" si="3"/>
        <v>0</v>
      </c>
      <c r="BH24" s="3">
        <f t="shared" si="4"/>
        <v>22.060445621001541</v>
      </c>
      <c r="BI24" s="3">
        <f t="shared" si="5"/>
        <v>79.414641894111412</v>
      </c>
      <c r="BJ24" s="3">
        <f t="shared" si="6"/>
        <v>18.798656798374441</v>
      </c>
      <c r="BK24" s="3">
        <f t="shared" si="7"/>
        <v>11.649560258224152</v>
      </c>
      <c r="BL24" s="3">
        <f t="shared" si="8"/>
        <v>51.498247085499621</v>
      </c>
      <c r="BM24" s="3">
        <f t="shared" si="9"/>
        <v>3.5861812244406139</v>
      </c>
      <c r="BN24" s="3">
        <f t="shared" si="10"/>
        <v>55.434975928131635</v>
      </c>
      <c r="BO24" s="3">
        <f t="shared" si="11"/>
        <v>0</v>
      </c>
      <c r="BP24" s="3">
        <f t="shared" si="12"/>
        <v>1.8628766317402137</v>
      </c>
      <c r="BQ24" s="3">
        <f t="shared" si="13"/>
        <v>0</v>
      </c>
      <c r="BR24" s="3">
        <f t="shared" si="14"/>
        <v>0</v>
      </c>
      <c r="BS24" s="3">
        <f t="shared" si="15"/>
        <v>47.447488233764282</v>
      </c>
      <c r="BT24" s="3">
        <f t="shared" si="16"/>
        <v>15.060944110342501</v>
      </c>
      <c r="BU24" s="3">
        <f t="shared" si="17"/>
        <v>46.50626826985831</v>
      </c>
      <c r="BV24" s="3">
        <f t="shared" si="18"/>
        <v>52.404546904332399</v>
      </c>
      <c r="BW24" s="3">
        <f t="shared" si="19"/>
        <v>9.1402310239092444</v>
      </c>
      <c r="BX24" s="3">
        <f t="shared" si="20"/>
        <v>29.540151416908131</v>
      </c>
      <c r="BY24" s="3">
        <f t="shared" si="21"/>
        <v>0</v>
      </c>
      <c r="BZ24" s="3">
        <f t="shared" si="22"/>
        <v>90.267643563164796</v>
      </c>
      <c r="CA24" s="9">
        <f t="shared" si="27"/>
        <v>45.462415493667983</v>
      </c>
      <c r="CB24" s="9">
        <f t="shared" si="27"/>
        <v>0.50281867875296593</v>
      </c>
      <c r="CC24" s="9">
        <f t="shared" si="27"/>
        <v>6.1867562063692043</v>
      </c>
      <c r="CD24" s="9">
        <f t="shared" si="27"/>
        <v>0.13762004386484664</v>
      </c>
      <c r="CE24" s="9">
        <f>BG24/1</f>
        <v>0</v>
      </c>
      <c r="CF24" s="9">
        <f t="shared" si="27"/>
        <v>11.842139863225235</v>
      </c>
      <c r="CG24" s="9">
        <f>BI24/1</f>
        <v>79.414641894111412</v>
      </c>
      <c r="CH24" s="9">
        <f>BJ24/1</f>
        <v>18.798656798374441</v>
      </c>
      <c r="CI24" s="9">
        <f t="shared" si="26"/>
        <v>2.1047286003115535</v>
      </c>
      <c r="CJ24" t="s">
        <v>474</v>
      </c>
    </row>
    <row r="25" spans="1:88" x14ac:dyDescent="0.25">
      <c r="A25">
        <v>23813</v>
      </c>
      <c r="B25" t="s">
        <v>211</v>
      </c>
      <c r="C25">
        <v>77.306272759999999</v>
      </c>
      <c r="D25">
        <v>1.384844119</v>
      </c>
      <c r="E25">
        <v>0.55289007599999995</v>
      </c>
      <c r="F25">
        <v>2.5047367970000001</v>
      </c>
      <c r="G25">
        <v>1.2254255E-2</v>
      </c>
      <c r="H25" s="10">
        <f>G25/(61/81)</f>
        <v>1.6272043524590163E-2</v>
      </c>
      <c r="I25" s="5" t="s">
        <v>212</v>
      </c>
      <c r="J25" t="s">
        <v>213</v>
      </c>
      <c r="K25">
        <v>233</v>
      </c>
      <c r="L25">
        <v>161429</v>
      </c>
      <c r="M25">
        <v>313.875</v>
      </c>
      <c r="N25">
        <v>161397</v>
      </c>
      <c r="O25">
        <v>0.999</v>
      </c>
      <c r="P25" t="s">
        <v>36</v>
      </c>
      <c r="Q25" t="s">
        <v>214</v>
      </c>
      <c r="R25">
        <v>131476</v>
      </c>
      <c r="S25">
        <v>2E-3</v>
      </c>
      <c r="T25">
        <v>22</v>
      </c>
      <c r="U25" t="s">
        <v>43</v>
      </c>
      <c r="V25">
        <v>-1</v>
      </c>
      <c r="W25">
        <v>282</v>
      </c>
      <c r="X25">
        <v>94</v>
      </c>
      <c r="Y25">
        <v>1995</v>
      </c>
      <c r="Z25">
        <v>20097</v>
      </c>
      <c r="AA25">
        <v>135958</v>
      </c>
      <c r="AB25">
        <v>2333</v>
      </c>
      <c r="AC25">
        <v>670</v>
      </c>
      <c r="AD25">
        <v>161429</v>
      </c>
      <c r="AE25">
        <v>167</v>
      </c>
      <c r="AF25">
        <v>39</v>
      </c>
      <c r="AG25">
        <v>6</v>
      </c>
      <c r="AH25">
        <v>0</v>
      </c>
      <c r="AI25">
        <v>68</v>
      </c>
      <c r="AJ25">
        <v>106</v>
      </c>
      <c r="AK25">
        <v>138</v>
      </c>
      <c r="AL25">
        <v>40</v>
      </c>
      <c r="AM25">
        <v>76</v>
      </c>
      <c r="AN25">
        <v>9</v>
      </c>
      <c r="AO25">
        <v>7</v>
      </c>
      <c r="AP25">
        <v>47</v>
      </c>
      <c r="AQ25">
        <v>50</v>
      </c>
      <c r="AR25">
        <v>89</v>
      </c>
      <c r="AS25">
        <v>1</v>
      </c>
      <c r="AT25">
        <v>6</v>
      </c>
      <c r="AU25">
        <v>135</v>
      </c>
      <c r="AV25">
        <v>49</v>
      </c>
      <c r="AW25">
        <v>143</v>
      </c>
      <c r="AX25">
        <v>106</v>
      </c>
      <c r="AY25">
        <v>124</v>
      </c>
      <c r="AZ25">
        <v>163</v>
      </c>
      <c r="BA25">
        <v>76</v>
      </c>
      <c r="BB25">
        <v>6</v>
      </c>
      <c r="BC25" s="3">
        <f t="shared" si="24"/>
        <v>1881.8311456576746</v>
      </c>
      <c r="BD25" s="3">
        <f t="shared" si="0"/>
        <v>112.20854908304037</v>
      </c>
      <c r="BE25" s="3">
        <f t="shared" si="1"/>
        <v>19.017281954976585</v>
      </c>
      <c r="BF25" s="3">
        <f t="shared" si="2"/>
        <v>0</v>
      </c>
      <c r="BG25" s="3">
        <f t="shared" si="3"/>
        <v>1020.5498212161802</v>
      </c>
      <c r="BH25" s="3">
        <f t="shared" si="4"/>
        <v>779.46907860872125</v>
      </c>
      <c r="BI25" s="3">
        <f t="shared" si="5"/>
        <v>498.14639006306243</v>
      </c>
      <c r="BJ25" s="3">
        <f t="shared" si="6"/>
        <v>150.38925438699553</v>
      </c>
      <c r="BK25" s="3">
        <f t="shared" si="7"/>
        <v>295.12219320834521</v>
      </c>
      <c r="BL25" s="3">
        <f t="shared" si="8"/>
        <v>30.898948251299771</v>
      </c>
      <c r="BM25" s="3">
        <f t="shared" si="9"/>
        <v>25.103268571084296</v>
      </c>
      <c r="BN25" s="3">
        <f t="shared" si="10"/>
        <v>144.74688159012149</v>
      </c>
      <c r="BO25" s="3">
        <f t="shared" si="11"/>
        <v>244.09366557410343</v>
      </c>
      <c r="BP25" s="3">
        <f t="shared" si="12"/>
        <v>165.79602022487904</v>
      </c>
      <c r="BQ25" s="3">
        <f t="shared" si="13"/>
        <v>5.0112452343057825</v>
      </c>
      <c r="BR25" s="3">
        <f t="shared" si="14"/>
        <v>27.852205059074528</v>
      </c>
      <c r="BS25" s="3">
        <f t="shared" si="15"/>
        <v>800.67636394477222</v>
      </c>
      <c r="BT25" s="3">
        <f t="shared" si="16"/>
        <v>245.99542046892753</v>
      </c>
      <c r="BU25" s="3">
        <f t="shared" si="17"/>
        <v>738.93292917663746</v>
      </c>
      <c r="BV25" s="3">
        <f t="shared" si="18"/>
        <v>252.49463508451066</v>
      </c>
      <c r="BW25" s="3">
        <f t="shared" si="19"/>
        <v>566.69432348237319</v>
      </c>
      <c r="BX25" s="3">
        <f t="shared" si="20"/>
        <v>481.50446809560253</v>
      </c>
      <c r="BY25" s="3">
        <f t="shared" si="21"/>
        <v>574.65571695483891</v>
      </c>
      <c r="BZ25" s="3">
        <f t="shared" si="22"/>
        <v>180.53528712632959</v>
      </c>
      <c r="CA25" s="9">
        <f t="shared" si="27"/>
        <v>6.3764474138655247</v>
      </c>
      <c r="CB25" s="9">
        <f t="shared" si="27"/>
        <v>3.6314682354380876</v>
      </c>
      <c r="CC25" s="9">
        <f t="shared" si="27"/>
        <v>0.75756198445337208</v>
      </c>
      <c r="CD25" s="9">
        <f t="shared" si="27"/>
        <v>0</v>
      </c>
      <c r="CE25" s="9">
        <f t="shared" si="27"/>
        <v>4.1809762609605929</v>
      </c>
      <c r="CF25" s="9">
        <f t="shared" si="27"/>
        <v>4.7013738782841754</v>
      </c>
      <c r="CG25" s="9">
        <f t="shared" si="27"/>
        <v>99.405709912752172</v>
      </c>
      <c r="CH25" s="9">
        <f t="shared" si="27"/>
        <v>5.39954571165981</v>
      </c>
      <c r="CI25" s="9">
        <f t="shared" si="26"/>
        <v>10.560386601628334</v>
      </c>
    </row>
    <row r="26" spans="1:88" x14ac:dyDescent="0.25">
      <c r="A26">
        <v>2537</v>
      </c>
      <c r="B26" t="s">
        <v>215</v>
      </c>
      <c r="C26">
        <v>62.24226007</v>
      </c>
      <c r="D26">
        <v>1.1642523650000001</v>
      </c>
      <c r="E26">
        <v>0.49654137399999998</v>
      </c>
      <c r="F26">
        <v>2.344723777</v>
      </c>
      <c r="G26">
        <v>1.9041180000000001E-2</v>
      </c>
      <c r="H26" s="10">
        <f>G26/(60/81)</f>
        <v>2.5705593000000002E-2</v>
      </c>
      <c r="I26" s="5" t="s">
        <v>488</v>
      </c>
      <c r="J26" t="s">
        <v>216</v>
      </c>
      <c r="K26">
        <v>258</v>
      </c>
      <c r="L26">
        <v>2102</v>
      </c>
      <c r="M26">
        <v>4.0869999999999997</v>
      </c>
      <c r="N26">
        <v>695</v>
      </c>
      <c r="O26">
        <v>0.96099999999999997</v>
      </c>
      <c r="P26" t="s">
        <v>36</v>
      </c>
      <c r="Q26" t="s">
        <v>217</v>
      </c>
      <c r="R26">
        <v>1329</v>
      </c>
      <c r="S26">
        <v>3.6999999999999998E-2</v>
      </c>
      <c r="T26">
        <v>24</v>
      </c>
      <c r="U26" t="s">
        <v>43</v>
      </c>
      <c r="V26">
        <v>-1</v>
      </c>
      <c r="W26">
        <v>1</v>
      </c>
      <c r="X26">
        <v>12</v>
      </c>
      <c r="Y26">
        <v>1</v>
      </c>
      <c r="Z26">
        <v>4</v>
      </c>
      <c r="AA26">
        <v>9</v>
      </c>
      <c r="AB26">
        <v>83</v>
      </c>
      <c r="AC26">
        <v>1992</v>
      </c>
      <c r="AD26">
        <v>2102</v>
      </c>
      <c r="AE26">
        <v>87</v>
      </c>
      <c r="AF26">
        <v>168</v>
      </c>
      <c r="AG26">
        <v>67</v>
      </c>
      <c r="AH26">
        <v>20</v>
      </c>
      <c r="AI26">
        <v>35</v>
      </c>
      <c r="AJ26">
        <v>103</v>
      </c>
      <c r="AK26">
        <v>239</v>
      </c>
      <c r="AL26">
        <v>56</v>
      </c>
      <c r="AM26">
        <v>78</v>
      </c>
      <c r="AN26">
        <v>66</v>
      </c>
      <c r="AO26">
        <v>59</v>
      </c>
      <c r="AP26">
        <v>88</v>
      </c>
      <c r="AQ26">
        <v>11</v>
      </c>
      <c r="AR26">
        <v>75</v>
      </c>
      <c r="AS26">
        <v>13</v>
      </c>
      <c r="AT26">
        <v>4</v>
      </c>
      <c r="AU26">
        <v>20</v>
      </c>
      <c r="AV26">
        <v>124</v>
      </c>
      <c r="AW26">
        <v>0</v>
      </c>
      <c r="AX26">
        <v>30</v>
      </c>
      <c r="AY26">
        <v>122</v>
      </c>
      <c r="AZ26">
        <v>200</v>
      </c>
      <c r="BA26">
        <v>24</v>
      </c>
      <c r="BB26">
        <v>0</v>
      </c>
      <c r="BC26" s="3">
        <f t="shared" si="24"/>
        <v>980.35514773783052</v>
      </c>
      <c r="BD26" s="3">
        <f t="shared" si="0"/>
        <v>483.35990374232773</v>
      </c>
      <c r="BE26" s="3">
        <f t="shared" si="1"/>
        <v>212.35964849723851</v>
      </c>
      <c r="BF26" s="3">
        <f t="shared" si="2"/>
        <v>152.57927637752385</v>
      </c>
      <c r="BG26" s="3">
        <f t="shared" si="3"/>
        <v>525.28299621421036</v>
      </c>
      <c r="BH26" s="3">
        <f t="shared" si="4"/>
        <v>757.40863298771967</v>
      </c>
      <c r="BI26" s="3">
        <f t="shared" si="5"/>
        <v>862.73179148602844</v>
      </c>
      <c r="BJ26" s="3">
        <f t="shared" si="6"/>
        <v>210.54495614179373</v>
      </c>
      <c r="BK26" s="3">
        <f t="shared" si="7"/>
        <v>302.88856671382797</v>
      </c>
      <c r="BL26" s="3">
        <f t="shared" si="8"/>
        <v>226.59228717619834</v>
      </c>
      <c r="BM26" s="3">
        <f t="shared" si="9"/>
        <v>211.58469224199621</v>
      </c>
      <c r="BN26" s="3">
        <f t="shared" si="10"/>
        <v>271.01543787086575</v>
      </c>
      <c r="BO26" s="3">
        <f t="shared" si="11"/>
        <v>53.700606426302755</v>
      </c>
      <c r="BP26" s="3">
        <f t="shared" si="12"/>
        <v>139.71574738051601</v>
      </c>
      <c r="BQ26" s="3">
        <f t="shared" si="13"/>
        <v>65.146188045975165</v>
      </c>
      <c r="BR26" s="3">
        <f t="shared" si="14"/>
        <v>18.568136706049685</v>
      </c>
      <c r="BS26" s="3">
        <f t="shared" si="15"/>
        <v>118.61872058441071</v>
      </c>
      <c r="BT26" s="3">
        <f t="shared" si="16"/>
        <v>622.51902322749004</v>
      </c>
      <c r="BU26" s="3">
        <f t="shared" si="17"/>
        <v>0</v>
      </c>
      <c r="BV26" s="3">
        <f t="shared" si="18"/>
        <v>71.460745778635086</v>
      </c>
      <c r="BW26" s="3">
        <f t="shared" si="19"/>
        <v>557.55409245846397</v>
      </c>
      <c r="BX26" s="3">
        <f t="shared" si="20"/>
        <v>590.80302833816268</v>
      </c>
      <c r="BY26" s="3">
        <f t="shared" si="21"/>
        <v>181.4702264067912</v>
      </c>
      <c r="BZ26" s="3">
        <f t="shared" si="22"/>
        <v>0</v>
      </c>
      <c r="CA26" s="9">
        <f t="shared" si="27"/>
        <v>3.2366858821187514</v>
      </c>
      <c r="CB26" s="9">
        <f t="shared" si="27"/>
        <v>2.1331701522853099</v>
      </c>
      <c r="CC26" s="9">
        <f t="shared" si="27"/>
        <v>1.0036626291204278</v>
      </c>
      <c r="CD26" s="9">
        <f t="shared" si="27"/>
        <v>0.56299108853800894</v>
      </c>
      <c r="CE26" s="9">
        <f t="shared" si="27"/>
        <v>9.7816957977019197</v>
      </c>
      <c r="CF26" s="9">
        <f t="shared" si="27"/>
        <v>5.4210684707208872</v>
      </c>
      <c r="CG26" s="9">
        <f t="shared" si="27"/>
        <v>13.24301263609129</v>
      </c>
      <c r="CH26" s="9">
        <f t="shared" si="27"/>
        <v>11.3390459944856</v>
      </c>
      <c r="CI26" s="9">
        <f t="shared" si="26"/>
        <v>5.7355679327301603</v>
      </c>
    </row>
    <row r="27" spans="1:88" x14ac:dyDescent="0.25">
      <c r="A27">
        <v>8669</v>
      </c>
      <c r="B27" t="s">
        <v>218</v>
      </c>
      <c r="C27">
        <v>345.63223590000001</v>
      </c>
      <c r="D27">
        <v>0.80349488000000002</v>
      </c>
      <c r="E27">
        <v>0.34288041699999999</v>
      </c>
      <c r="F27">
        <v>2.3433676590000001</v>
      </c>
      <c r="G27">
        <v>1.9110541000000002E-2</v>
      </c>
      <c r="H27" s="10">
        <f>G27/(59/81)</f>
        <v>2.6236505440677967E-2</v>
      </c>
      <c r="I27" s="5" t="s">
        <v>477</v>
      </c>
      <c r="J27" t="s">
        <v>219</v>
      </c>
      <c r="K27">
        <v>311</v>
      </c>
      <c r="L27">
        <v>26926</v>
      </c>
      <c r="M27">
        <v>52.353999999999999</v>
      </c>
      <c r="N27">
        <v>9578</v>
      </c>
      <c r="O27">
        <v>0.85799999999999998</v>
      </c>
      <c r="P27" t="s">
        <v>36</v>
      </c>
      <c r="Q27" t="s">
        <v>220</v>
      </c>
      <c r="R27">
        <v>8621</v>
      </c>
      <c r="S27">
        <v>0.02</v>
      </c>
      <c r="T27">
        <v>24</v>
      </c>
      <c r="U27" t="s">
        <v>221</v>
      </c>
      <c r="V27">
        <v>-1</v>
      </c>
      <c r="W27">
        <v>49</v>
      </c>
      <c r="X27">
        <v>1181</v>
      </c>
      <c r="Y27">
        <v>70</v>
      </c>
      <c r="Z27">
        <v>247</v>
      </c>
      <c r="AA27">
        <v>181</v>
      </c>
      <c r="AB27">
        <v>877</v>
      </c>
      <c r="AC27">
        <v>24321</v>
      </c>
      <c r="AD27">
        <v>26926</v>
      </c>
      <c r="AE27">
        <v>251</v>
      </c>
      <c r="AF27">
        <v>677</v>
      </c>
      <c r="AG27">
        <v>1247</v>
      </c>
      <c r="AH27">
        <v>377</v>
      </c>
      <c r="AI27">
        <v>84</v>
      </c>
      <c r="AJ27">
        <v>518</v>
      </c>
      <c r="AK27">
        <v>1078</v>
      </c>
      <c r="AL27">
        <v>470</v>
      </c>
      <c r="AM27">
        <v>473</v>
      </c>
      <c r="AN27">
        <v>779</v>
      </c>
      <c r="AO27">
        <v>1060</v>
      </c>
      <c r="AP27">
        <v>463</v>
      </c>
      <c r="AQ27">
        <v>119</v>
      </c>
      <c r="AR27">
        <v>722</v>
      </c>
      <c r="AS27">
        <v>100</v>
      </c>
      <c r="AT27">
        <v>68</v>
      </c>
      <c r="AU27">
        <v>141</v>
      </c>
      <c r="AV27">
        <v>311</v>
      </c>
      <c r="AW27">
        <v>154</v>
      </c>
      <c r="AX27">
        <v>142</v>
      </c>
      <c r="AY27">
        <v>280</v>
      </c>
      <c r="AZ27">
        <v>740</v>
      </c>
      <c r="BA27">
        <v>135</v>
      </c>
      <c r="BB27">
        <v>30</v>
      </c>
      <c r="BC27" s="3">
        <f t="shared" si="24"/>
        <v>2828.3809434735113</v>
      </c>
      <c r="BD27" s="3">
        <f t="shared" si="0"/>
        <v>1947.8253263902136</v>
      </c>
      <c r="BE27" s="3">
        <f t="shared" si="1"/>
        <v>3952.4250996426331</v>
      </c>
      <c r="BF27" s="3">
        <f t="shared" si="2"/>
        <v>2876.1193597163247</v>
      </c>
      <c r="BG27" s="3">
        <f t="shared" si="3"/>
        <v>1260.679190914105</v>
      </c>
      <c r="BH27" s="3">
        <f t="shared" si="4"/>
        <v>3809.1036105595999</v>
      </c>
      <c r="BI27" s="3">
        <f t="shared" si="5"/>
        <v>3891.3174528114591</v>
      </c>
      <c r="BJ27" s="3">
        <f t="shared" si="6"/>
        <v>1767.0737390471975</v>
      </c>
      <c r="BK27" s="3">
        <f t="shared" si="7"/>
        <v>1836.7473340466747</v>
      </c>
      <c r="BL27" s="3">
        <f t="shared" si="8"/>
        <v>2674.4756319736139</v>
      </c>
      <c r="BM27" s="3">
        <f t="shared" si="9"/>
        <v>3801.3520979070508</v>
      </c>
      <c r="BN27" s="3">
        <f t="shared" si="10"/>
        <v>1425.9107697069417</v>
      </c>
      <c r="BO27" s="3">
        <f t="shared" si="11"/>
        <v>580.94292406636612</v>
      </c>
      <c r="BP27" s="3">
        <f t="shared" si="12"/>
        <v>1344.9969281164342</v>
      </c>
      <c r="BQ27" s="3">
        <f t="shared" si="13"/>
        <v>501.12452343057822</v>
      </c>
      <c r="BR27" s="3">
        <f t="shared" si="14"/>
        <v>315.65832400284461</v>
      </c>
      <c r="BS27" s="3">
        <f t="shared" si="15"/>
        <v>836.26198012009559</v>
      </c>
      <c r="BT27" s="3">
        <f t="shared" si="16"/>
        <v>1561.3178727721727</v>
      </c>
      <c r="BU27" s="3">
        <f t="shared" si="17"/>
        <v>795.77392372868655</v>
      </c>
      <c r="BV27" s="3">
        <f t="shared" si="18"/>
        <v>338.24753001887279</v>
      </c>
      <c r="BW27" s="3">
        <f t="shared" si="19"/>
        <v>1279.6323433472942</v>
      </c>
      <c r="BX27" s="3">
        <f t="shared" si="20"/>
        <v>2185.9712048512019</v>
      </c>
      <c r="BY27" s="3">
        <f t="shared" si="21"/>
        <v>1020.7700235382007</v>
      </c>
      <c r="BZ27" s="3">
        <f t="shared" si="22"/>
        <v>902.67643563164779</v>
      </c>
      <c r="CA27" s="9">
        <f t="shared" si="27"/>
        <v>1.5398856941537489</v>
      </c>
      <c r="CB27" s="9">
        <f t="shared" si="27"/>
        <v>0.7283017661869019</v>
      </c>
      <c r="CC27" s="9">
        <f t="shared" si="27"/>
        <v>1.0397419123102962</v>
      </c>
      <c r="CD27" s="9">
        <f t="shared" si="27"/>
        <v>2.0170402109435188</v>
      </c>
      <c r="CE27" s="9">
        <f t="shared" si="27"/>
        <v>2.1700568828515188</v>
      </c>
      <c r="CF27" s="9">
        <f t="shared" si="27"/>
        <v>2.8320537623040964</v>
      </c>
      <c r="CG27" s="9">
        <f t="shared" si="27"/>
        <v>7.7651706728947003</v>
      </c>
      <c r="CH27" s="9">
        <f t="shared" si="27"/>
        <v>5.5980584216473037</v>
      </c>
      <c r="CI27" s="9">
        <f t="shared" si="26"/>
        <v>3.4489097921383105</v>
      </c>
    </row>
    <row r="28" spans="1:88" x14ac:dyDescent="0.25">
      <c r="A28">
        <v>38344</v>
      </c>
      <c r="B28" t="s">
        <v>222</v>
      </c>
      <c r="C28">
        <v>179.6088896</v>
      </c>
      <c r="D28">
        <v>-0.73708990900000004</v>
      </c>
      <c r="E28">
        <v>0.314813642</v>
      </c>
      <c r="F28">
        <v>-2.3413531380000001</v>
      </c>
      <c r="G28">
        <v>1.9213984E-2</v>
      </c>
      <c r="H28" s="10">
        <f>G28/(58/81)</f>
        <v>2.6833322482758621E-2</v>
      </c>
      <c r="I28" s="5" t="s">
        <v>223</v>
      </c>
      <c r="J28" t="s">
        <v>224</v>
      </c>
      <c r="K28">
        <v>218</v>
      </c>
      <c r="L28">
        <v>11691</v>
      </c>
      <c r="M28">
        <v>22.731000000000002</v>
      </c>
      <c r="N28">
        <v>144</v>
      </c>
      <c r="O28">
        <v>0.83699999999999997</v>
      </c>
      <c r="P28" t="s">
        <v>36</v>
      </c>
      <c r="Q28" t="s">
        <v>192</v>
      </c>
      <c r="R28">
        <v>6894</v>
      </c>
      <c r="S28">
        <v>1.4E-2</v>
      </c>
      <c r="T28">
        <v>21</v>
      </c>
      <c r="U28" t="s">
        <v>43</v>
      </c>
      <c r="V28">
        <v>-1</v>
      </c>
      <c r="W28">
        <v>153</v>
      </c>
      <c r="X28">
        <v>14</v>
      </c>
      <c r="Y28">
        <v>549</v>
      </c>
      <c r="Z28">
        <v>9177</v>
      </c>
      <c r="AA28">
        <v>1732</v>
      </c>
      <c r="AB28">
        <v>58</v>
      </c>
      <c r="AC28">
        <v>8</v>
      </c>
      <c r="AD28">
        <v>11691</v>
      </c>
      <c r="AE28">
        <v>41</v>
      </c>
      <c r="AF28">
        <v>166</v>
      </c>
      <c r="AG28">
        <v>1110</v>
      </c>
      <c r="AH28">
        <v>83</v>
      </c>
      <c r="AI28">
        <v>17</v>
      </c>
      <c r="AJ28">
        <v>78</v>
      </c>
      <c r="AK28">
        <v>199</v>
      </c>
      <c r="AL28">
        <v>252</v>
      </c>
      <c r="AM28">
        <v>135</v>
      </c>
      <c r="AN28">
        <v>237</v>
      </c>
      <c r="AO28">
        <v>560</v>
      </c>
      <c r="AP28">
        <v>536</v>
      </c>
      <c r="AQ28">
        <v>231</v>
      </c>
      <c r="AR28">
        <v>975</v>
      </c>
      <c r="AS28">
        <v>113</v>
      </c>
      <c r="AT28">
        <v>123</v>
      </c>
      <c r="AU28">
        <v>34</v>
      </c>
      <c r="AV28">
        <v>122</v>
      </c>
      <c r="AW28">
        <v>379</v>
      </c>
      <c r="AX28">
        <v>177</v>
      </c>
      <c r="AY28">
        <v>86</v>
      </c>
      <c r="AZ28">
        <v>199</v>
      </c>
      <c r="BA28">
        <v>167</v>
      </c>
      <c r="BB28">
        <v>38</v>
      </c>
      <c r="BC28" s="3">
        <f t="shared" si="24"/>
        <v>462.00644893392007</v>
      </c>
      <c r="BD28" s="3">
        <f t="shared" si="0"/>
        <v>477.60561917396672</v>
      </c>
      <c r="BE28" s="3">
        <f t="shared" si="1"/>
        <v>3518.1971616706678</v>
      </c>
      <c r="BF28" s="3">
        <f t="shared" si="2"/>
        <v>633.20399696672405</v>
      </c>
      <c r="BG28" s="3">
        <f t="shared" si="3"/>
        <v>255.13745530404506</v>
      </c>
      <c r="BH28" s="3">
        <f t="shared" si="4"/>
        <v>573.5715861460402</v>
      </c>
      <c r="BI28" s="3">
        <f t="shared" si="5"/>
        <v>718.341533496735</v>
      </c>
      <c r="BJ28" s="3">
        <f t="shared" si="6"/>
        <v>947.45230263807196</v>
      </c>
      <c r="BK28" s="3">
        <f t="shared" si="7"/>
        <v>524.23021162008683</v>
      </c>
      <c r="BL28" s="3">
        <f t="shared" si="8"/>
        <v>813.67230395089393</v>
      </c>
      <c r="BM28" s="3">
        <f t="shared" si="9"/>
        <v>2008.2614856867438</v>
      </c>
      <c r="BN28" s="3">
        <f t="shared" si="10"/>
        <v>1650.7303943043642</v>
      </c>
      <c r="BO28" s="3">
        <f t="shared" si="11"/>
        <v>1127.7127349523578</v>
      </c>
      <c r="BP28" s="3">
        <f t="shared" si="12"/>
        <v>1816.3047159467083</v>
      </c>
      <c r="BQ28" s="3">
        <f t="shared" si="13"/>
        <v>566.2707114765534</v>
      </c>
      <c r="BR28" s="3">
        <f t="shared" si="14"/>
        <v>570.97020371102781</v>
      </c>
      <c r="BS28" s="3">
        <f t="shared" si="15"/>
        <v>201.65182499349822</v>
      </c>
      <c r="BT28" s="3">
        <f t="shared" si="16"/>
        <v>612.4783938205951</v>
      </c>
      <c r="BU28" s="3">
        <f t="shared" si="17"/>
        <v>1958.4306304751442</v>
      </c>
      <c r="BV28" s="3">
        <f t="shared" si="18"/>
        <v>421.618400093947</v>
      </c>
      <c r="BW28" s="3">
        <f t="shared" si="19"/>
        <v>393.0299340280975</v>
      </c>
      <c r="BX28" s="3">
        <f t="shared" si="20"/>
        <v>587.8490131964719</v>
      </c>
      <c r="BY28" s="3">
        <f t="shared" si="21"/>
        <v>1262.7303254139224</v>
      </c>
      <c r="BZ28" s="3">
        <f t="shared" si="22"/>
        <v>1143.3901518000873</v>
      </c>
      <c r="CA28" s="9">
        <f t="shared" si="27"/>
        <v>0.88130450838788976</v>
      </c>
      <c r="CB28" s="9">
        <f t="shared" si="27"/>
        <v>0.58697539151190126</v>
      </c>
      <c r="CC28" s="9">
        <f t="shared" si="27"/>
        <v>1.7518620890484227</v>
      </c>
      <c r="CD28" s="9">
        <f t="shared" si="27"/>
        <v>0.38359019689194196</v>
      </c>
      <c r="CE28" s="9">
        <f t="shared" si="27"/>
        <v>0.22624330416453423</v>
      </c>
      <c r="CF28" s="9">
        <f t="shared" si="27"/>
        <v>0.31579039635267303</v>
      </c>
      <c r="CG28" s="9">
        <f t="shared" si="27"/>
        <v>1.2685479205231298</v>
      </c>
      <c r="CH28" s="9">
        <f t="shared" si="27"/>
        <v>1.6593725845588687</v>
      </c>
      <c r="CI28" s="9">
        <f>AVERAGE(CE28:CG28)/AVERAGE(CA28:CD28)</f>
        <v>0.66989129701128713</v>
      </c>
      <c r="CJ28" t="s">
        <v>469</v>
      </c>
    </row>
    <row r="29" spans="1:88" x14ac:dyDescent="0.25">
      <c r="A29">
        <v>17347</v>
      </c>
      <c r="B29" t="s">
        <v>225</v>
      </c>
      <c r="C29">
        <v>23.987881980000001</v>
      </c>
      <c r="D29">
        <v>1.00040599</v>
      </c>
      <c r="E29">
        <v>0.42758916600000002</v>
      </c>
      <c r="F29">
        <v>2.3396429790000002</v>
      </c>
      <c r="G29">
        <v>1.9302182000000001E-2</v>
      </c>
      <c r="H29" s="10">
        <f>G29/(57/81)</f>
        <v>2.7429416526315791E-2</v>
      </c>
      <c r="I29" s="5" t="s">
        <v>226</v>
      </c>
      <c r="J29" t="s">
        <v>227</v>
      </c>
      <c r="K29">
        <v>215</v>
      </c>
      <c r="L29">
        <v>2508</v>
      </c>
      <c r="M29">
        <v>4.8760000000000003</v>
      </c>
      <c r="N29">
        <v>2347</v>
      </c>
      <c r="O29">
        <v>0.92</v>
      </c>
      <c r="P29" t="s">
        <v>36</v>
      </c>
      <c r="Q29" t="s">
        <v>228</v>
      </c>
      <c r="R29">
        <v>1080</v>
      </c>
      <c r="S29">
        <v>3.7999999999999999E-2</v>
      </c>
      <c r="T29">
        <v>24</v>
      </c>
      <c r="U29" t="s">
        <v>90</v>
      </c>
      <c r="V29">
        <v>-1</v>
      </c>
      <c r="W29">
        <v>14</v>
      </c>
      <c r="X29">
        <v>3</v>
      </c>
      <c r="Y29">
        <v>32</v>
      </c>
      <c r="Z29">
        <v>856</v>
      </c>
      <c r="AA29">
        <v>24</v>
      </c>
      <c r="AB29">
        <v>72</v>
      </c>
      <c r="AC29">
        <v>1507</v>
      </c>
      <c r="AD29">
        <v>2508</v>
      </c>
      <c r="AE29">
        <v>9</v>
      </c>
      <c r="AF29">
        <v>29</v>
      </c>
      <c r="AG29">
        <v>86</v>
      </c>
      <c r="AH29">
        <v>19</v>
      </c>
      <c r="AI29">
        <v>8</v>
      </c>
      <c r="AJ29">
        <v>22</v>
      </c>
      <c r="AK29">
        <v>59</v>
      </c>
      <c r="AL29">
        <v>47</v>
      </c>
      <c r="AM29">
        <v>17</v>
      </c>
      <c r="AN29">
        <v>11</v>
      </c>
      <c r="AO29">
        <v>31</v>
      </c>
      <c r="AP29">
        <v>32</v>
      </c>
      <c r="AQ29">
        <v>0</v>
      </c>
      <c r="AR29">
        <v>65</v>
      </c>
      <c r="AS29">
        <v>13</v>
      </c>
      <c r="AT29">
        <v>0</v>
      </c>
      <c r="AU29">
        <v>11</v>
      </c>
      <c r="AV29">
        <v>8</v>
      </c>
      <c r="AW29">
        <v>70</v>
      </c>
      <c r="AX29">
        <v>36</v>
      </c>
      <c r="AY29">
        <v>39</v>
      </c>
      <c r="AZ29">
        <v>34</v>
      </c>
      <c r="BA29">
        <v>39</v>
      </c>
      <c r="BB29">
        <v>4</v>
      </c>
      <c r="BC29" s="3">
        <f t="shared" si="24"/>
        <v>101.41604976598246</v>
      </c>
      <c r="BD29" s="3">
        <f t="shared" si="0"/>
        <v>83.437126241235134</v>
      </c>
      <c r="BE29" s="3">
        <f t="shared" si="1"/>
        <v>272.58104135466442</v>
      </c>
      <c r="BF29" s="3">
        <f t="shared" si="2"/>
        <v>144.95031255864765</v>
      </c>
      <c r="BG29" s="3">
        <f t="shared" si="3"/>
        <v>120.06468484896239</v>
      </c>
      <c r="BH29" s="3">
        <f t="shared" si="4"/>
        <v>161.77660122067797</v>
      </c>
      <c r="BI29" s="3">
        <f t="shared" si="5"/>
        <v>212.97563053420785</v>
      </c>
      <c r="BJ29" s="3">
        <f t="shared" si="6"/>
        <v>176.70737390471976</v>
      </c>
      <c r="BK29" s="3">
        <f t="shared" si="7"/>
        <v>66.014174796603527</v>
      </c>
      <c r="BL29" s="3">
        <f t="shared" si="8"/>
        <v>37.765381196033054</v>
      </c>
      <c r="BM29" s="3">
        <f t="shared" si="9"/>
        <v>111.17161795765902</v>
      </c>
      <c r="BN29" s="3">
        <f t="shared" si="10"/>
        <v>98.551068316678453</v>
      </c>
      <c r="BO29" s="3">
        <f t="shared" si="11"/>
        <v>0</v>
      </c>
      <c r="BP29" s="3">
        <f t="shared" si="12"/>
        <v>121.0869810631139</v>
      </c>
      <c r="BQ29" s="3">
        <f t="shared" si="13"/>
        <v>65.146188045975165</v>
      </c>
      <c r="BR29" s="3">
        <f t="shared" si="14"/>
        <v>0</v>
      </c>
      <c r="BS29" s="3">
        <f t="shared" si="15"/>
        <v>65.240296321425888</v>
      </c>
      <c r="BT29" s="3">
        <f t="shared" si="16"/>
        <v>40.162517627580009</v>
      </c>
      <c r="BU29" s="3">
        <f t="shared" si="17"/>
        <v>361.7154198766757</v>
      </c>
      <c r="BV29" s="3">
        <f t="shared" si="18"/>
        <v>85.752894934362118</v>
      </c>
      <c r="BW29" s="3">
        <f t="shared" si="19"/>
        <v>178.23450496623028</v>
      </c>
      <c r="BX29" s="3">
        <f t="shared" si="20"/>
        <v>100.43651481748765</v>
      </c>
      <c r="BY29" s="3">
        <f t="shared" si="21"/>
        <v>294.88911791103573</v>
      </c>
      <c r="BZ29" s="3">
        <f t="shared" si="22"/>
        <v>120.35685808421971</v>
      </c>
      <c r="CA29" s="9">
        <f t="shared" si="27"/>
        <v>1.5362768689975412</v>
      </c>
      <c r="CB29" s="9">
        <f t="shared" si="27"/>
        <v>2.209354800581214</v>
      </c>
      <c r="CC29" s="9">
        <f t="shared" si="27"/>
        <v>2.4518941647361832</v>
      </c>
      <c r="CD29" s="9">
        <f t="shared" si="27"/>
        <v>1.4708142188055484</v>
      </c>
      <c r="CE29" s="9">
        <f>BG29/1</f>
        <v>120.06468484896239</v>
      </c>
      <c r="CF29" s="9">
        <f t="shared" si="27"/>
        <v>1.3360362922613085</v>
      </c>
      <c r="CG29" s="9">
        <f t="shared" si="27"/>
        <v>3.2691955879890631</v>
      </c>
      <c r="CH29" s="9">
        <f>BJ29/1</f>
        <v>176.70737390471976</v>
      </c>
      <c r="CI29" s="9">
        <f t="shared" si="26"/>
        <v>39.301503134474672</v>
      </c>
      <c r="CJ29" t="s">
        <v>472</v>
      </c>
    </row>
    <row r="30" spans="1:88" x14ac:dyDescent="0.25">
      <c r="A30">
        <v>30800</v>
      </c>
      <c r="B30" t="s">
        <v>229</v>
      </c>
      <c r="C30">
        <v>12.44721798</v>
      </c>
      <c r="D30">
        <v>1.318503559</v>
      </c>
      <c r="E30">
        <v>0.56623142199999998</v>
      </c>
      <c r="F30">
        <v>2.3285595030000001</v>
      </c>
      <c r="G30">
        <v>1.9882414000000001E-2</v>
      </c>
      <c r="H30" s="10">
        <f>G30/(56/81)</f>
        <v>2.8758491678571432E-2</v>
      </c>
      <c r="I30" s="5" t="s">
        <v>230</v>
      </c>
      <c r="J30" t="s">
        <v>231</v>
      </c>
      <c r="K30">
        <v>73</v>
      </c>
      <c r="L30">
        <v>45981</v>
      </c>
      <c r="M30">
        <v>89.403000000000006</v>
      </c>
      <c r="N30">
        <v>42140</v>
      </c>
      <c r="O30">
        <v>0.999</v>
      </c>
      <c r="P30" t="s">
        <v>36</v>
      </c>
      <c r="Q30" t="s">
        <v>232</v>
      </c>
      <c r="R30">
        <v>26508</v>
      </c>
      <c r="S30">
        <v>7.0000000000000001E-3</v>
      </c>
      <c r="T30">
        <v>21</v>
      </c>
      <c r="U30" t="s">
        <v>43</v>
      </c>
      <c r="V30">
        <v>-1</v>
      </c>
      <c r="W30">
        <v>467</v>
      </c>
      <c r="X30">
        <v>8</v>
      </c>
      <c r="Y30">
        <v>3173</v>
      </c>
      <c r="Z30">
        <v>31870</v>
      </c>
      <c r="AA30">
        <v>10272</v>
      </c>
      <c r="AB30">
        <v>48</v>
      </c>
      <c r="AC30">
        <v>143</v>
      </c>
      <c r="AD30">
        <v>45981</v>
      </c>
      <c r="AE30">
        <v>5</v>
      </c>
      <c r="AF30">
        <v>28</v>
      </c>
      <c r="AG30">
        <v>134</v>
      </c>
      <c r="AH30">
        <v>14</v>
      </c>
      <c r="AI30">
        <v>2</v>
      </c>
      <c r="AJ30">
        <v>11</v>
      </c>
      <c r="AK30">
        <v>108</v>
      </c>
      <c r="AL30">
        <v>13</v>
      </c>
      <c r="AM30">
        <v>9</v>
      </c>
      <c r="AN30">
        <v>14</v>
      </c>
      <c r="AO30">
        <v>19</v>
      </c>
      <c r="AP30">
        <v>44</v>
      </c>
      <c r="AQ30">
        <v>0</v>
      </c>
      <c r="AR30">
        <v>0</v>
      </c>
      <c r="AS30">
        <v>0</v>
      </c>
      <c r="AT30">
        <v>0</v>
      </c>
      <c r="AU30">
        <v>0</v>
      </c>
      <c r="AV30">
        <v>1</v>
      </c>
      <c r="AW30">
        <v>7</v>
      </c>
      <c r="AX30">
        <v>2</v>
      </c>
      <c r="AY30">
        <v>2</v>
      </c>
      <c r="AZ30">
        <v>0</v>
      </c>
      <c r="BA30">
        <v>7</v>
      </c>
      <c r="BB30">
        <v>2</v>
      </c>
      <c r="BC30" s="3">
        <f t="shared" si="24"/>
        <v>56.342249869990262</v>
      </c>
      <c r="BD30" s="3">
        <f t="shared" si="0"/>
        <v>80.559983957054627</v>
      </c>
      <c r="BE30" s="3">
        <f t="shared" si="1"/>
        <v>424.71929699447702</v>
      </c>
      <c r="BF30" s="3">
        <f t="shared" si="2"/>
        <v>106.8054934642667</v>
      </c>
      <c r="BG30" s="3">
        <f t="shared" si="3"/>
        <v>30.016171212240597</v>
      </c>
      <c r="BH30" s="3">
        <f t="shared" si="4"/>
        <v>80.888300610338987</v>
      </c>
      <c r="BI30" s="3">
        <f t="shared" si="5"/>
        <v>389.85369657109237</v>
      </c>
      <c r="BJ30" s="3">
        <f t="shared" si="6"/>
        <v>48.876507675773553</v>
      </c>
      <c r="BK30" s="3">
        <f t="shared" si="7"/>
        <v>34.948680774672461</v>
      </c>
      <c r="BL30" s="3">
        <f t="shared" si="8"/>
        <v>48.065030613132976</v>
      </c>
      <c r="BM30" s="3">
        <f t="shared" si="9"/>
        <v>68.137443264371669</v>
      </c>
      <c r="BN30" s="3">
        <f t="shared" si="10"/>
        <v>135.50771893543288</v>
      </c>
      <c r="BO30" s="3">
        <f t="shared" si="11"/>
        <v>0</v>
      </c>
      <c r="BP30" s="3">
        <f t="shared" si="12"/>
        <v>0</v>
      </c>
      <c r="BQ30" s="3">
        <f t="shared" si="13"/>
        <v>0</v>
      </c>
      <c r="BR30" s="3">
        <f t="shared" si="14"/>
        <v>0</v>
      </c>
      <c r="BS30" s="3">
        <f t="shared" si="15"/>
        <v>0</v>
      </c>
      <c r="BT30" s="3">
        <f t="shared" si="16"/>
        <v>5.0203147034475011</v>
      </c>
      <c r="BU30" s="3">
        <f t="shared" si="17"/>
        <v>36.171541987667574</v>
      </c>
      <c r="BV30" s="3">
        <f t="shared" si="18"/>
        <v>4.7640497185756736</v>
      </c>
      <c r="BW30" s="3">
        <f t="shared" si="19"/>
        <v>9.1402310239092444</v>
      </c>
      <c r="BX30" s="3">
        <f t="shared" si="20"/>
        <v>0</v>
      </c>
      <c r="BY30" s="3">
        <f t="shared" si="21"/>
        <v>52.928816035314107</v>
      </c>
      <c r="BZ30" s="3">
        <f t="shared" si="22"/>
        <v>60.178429042109855</v>
      </c>
      <c r="CA30" s="9">
        <f t="shared" si="27"/>
        <v>1.6121423933924814</v>
      </c>
      <c r="CB30" s="9">
        <f t="shared" si="27"/>
        <v>1.6760622625098869</v>
      </c>
      <c r="CC30" s="9">
        <f t="shared" si="27"/>
        <v>6.2332731703268669</v>
      </c>
      <c r="CD30" s="9">
        <f t="shared" si="27"/>
        <v>0.78818752395321257</v>
      </c>
      <c r="CE30" s="9">
        <f>BG30/1</f>
        <v>30.016171212240597</v>
      </c>
      <c r="CF30" s="9">
        <f>BH30/1</f>
        <v>80.888300610338987</v>
      </c>
      <c r="CG30" s="9">
        <f>BI30/1</f>
        <v>389.85369657109237</v>
      </c>
      <c r="CH30" s="9">
        <f>BJ30/1</f>
        <v>48.876507675773553</v>
      </c>
      <c r="CI30" s="9">
        <f t="shared" si="26"/>
        <v>53.31256228018291</v>
      </c>
      <c r="CJ30" t="s">
        <v>470</v>
      </c>
    </row>
    <row r="31" spans="1:88" x14ac:dyDescent="0.25">
      <c r="A31">
        <v>19048</v>
      </c>
      <c r="B31" t="s">
        <v>233</v>
      </c>
      <c r="C31">
        <v>20186.25058</v>
      </c>
      <c r="D31">
        <v>0.93304714200000005</v>
      </c>
      <c r="E31">
        <v>0.40718431700000002</v>
      </c>
      <c r="F31">
        <v>2.291461392</v>
      </c>
      <c r="G31">
        <v>2.1936741999999999E-2</v>
      </c>
      <c r="H31" s="10">
        <f>G31/(55/81)</f>
        <v>3.2306838218181817E-2</v>
      </c>
      <c r="I31" s="5" t="s">
        <v>234</v>
      </c>
      <c r="J31" t="s">
        <v>235</v>
      </c>
      <c r="K31">
        <v>1023</v>
      </c>
      <c r="L31">
        <v>4870382</v>
      </c>
      <c r="M31">
        <v>9469.75</v>
      </c>
      <c r="N31">
        <v>4853665</v>
      </c>
      <c r="O31">
        <v>0.53600000000000003</v>
      </c>
      <c r="P31" t="s">
        <v>47</v>
      </c>
      <c r="Q31" t="s">
        <v>236</v>
      </c>
      <c r="R31">
        <v>1419247</v>
      </c>
      <c r="S31">
        <v>2E-3</v>
      </c>
      <c r="T31">
        <v>21</v>
      </c>
      <c r="U31" t="s">
        <v>49</v>
      </c>
      <c r="V31">
        <v>18630.8</v>
      </c>
      <c r="W31">
        <v>18367</v>
      </c>
      <c r="X31">
        <v>5734</v>
      </c>
      <c r="Y31">
        <v>58590</v>
      </c>
      <c r="Z31">
        <v>4616375</v>
      </c>
      <c r="AA31">
        <v>138530</v>
      </c>
      <c r="AB31">
        <v>14141</v>
      </c>
      <c r="AC31">
        <v>18645</v>
      </c>
      <c r="AD31">
        <v>4870382</v>
      </c>
      <c r="AE31">
        <v>26982</v>
      </c>
      <c r="AF31">
        <v>28049</v>
      </c>
      <c r="AG31">
        <v>4748</v>
      </c>
      <c r="AH31">
        <v>1128</v>
      </c>
      <c r="AI31">
        <v>11373</v>
      </c>
      <c r="AJ31">
        <v>38851</v>
      </c>
      <c r="AK31">
        <v>21341</v>
      </c>
      <c r="AL31">
        <v>2858</v>
      </c>
      <c r="AM31">
        <v>59094</v>
      </c>
      <c r="AN31">
        <v>7401</v>
      </c>
      <c r="AO31">
        <v>4021</v>
      </c>
      <c r="AP31">
        <v>4461</v>
      </c>
      <c r="AQ31">
        <v>4816</v>
      </c>
      <c r="AR31">
        <v>29398</v>
      </c>
      <c r="AS31">
        <v>1594</v>
      </c>
      <c r="AT31">
        <v>1056</v>
      </c>
      <c r="AU31">
        <v>27979</v>
      </c>
      <c r="AV31">
        <v>24211</v>
      </c>
      <c r="AW31">
        <v>3283</v>
      </c>
      <c r="AX31">
        <v>2606</v>
      </c>
      <c r="AY31">
        <v>100638</v>
      </c>
      <c r="AZ31">
        <v>107061</v>
      </c>
      <c r="BA31">
        <v>4400</v>
      </c>
      <c r="BB31">
        <v>246</v>
      </c>
      <c r="BC31" s="3">
        <f t="shared" si="24"/>
        <v>304045.3171984154</v>
      </c>
      <c r="BD31" s="3">
        <f t="shared" si="0"/>
        <v>80700.963928979472</v>
      </c>
      <c r="BE31" s="3">
        <f t="shared" si="1"/>
        <v>15049.009120371471</v>
      </c>
      <c r="BF31" s="3">
        <f t="shared" si="2"/>
        <v>8605.4711876923448</v>
      </c>
      <c r="BG31" s="3">
        <f t="shared" si="3"/>
        <v>170686.95759840615</v>
      </c>
      <c r="BH31" s="3">
        <f t="shared" si="4"/>
        <v>285690.12427384366</v>
      </c>
      <c r="BI31" s="3">
        <f t="shared" si="5"/>
        <v>77035.812393737797</v>
      </c>
      <c r="BJ31" s="3">
        <f t="shared" si="6"/>
        <v>10745.312225950831</v>
      </c>
      <c r="BK31" s="3">
        <f t="shared" si="7"/>
        <v>229473.03796649937</v>
      </c>
      <c r="BL31" s="3">
        <f t="shared" si="8"/>
        <v>25409.235111985516</v>
      </c>
      <c r="BM31" s="3">
        <f t="shared" si="9"/>
        <v>14420.034703475709</v>
      </c>
      <c r="BN31" s="3">
        <f t="shared" si="10"/>
        <v>13738.634867521958</v>
      </c>
      <c r="BO31" s="3">
        <f t="shared" si="11"/>
        <v>23511.101868097641</v>
      </c>
      <c r="BP31" s="3">
        <f t="shared" si="12"/>
        <v>54764.847219898802</v>
      </c>
      <c r="BQ31" s="3">
        <f t="shared" si="13"/>
        <v>7987.9249034834165</v>
      </c>
      <c r="BR31" s="3">
        <f t="shared" si="14"/>
        <v>4901.988090397117</v>
      </c>
      <c r="BS31" s="3">
        <f t="shared" si="15"/>
        <v>165941.65916156137</v>
      </c>
      <c r="BT31" s="3">
        <f t="shared" si="16"/>
        <v>121546.83928516744</v>
      </c>
      <c r="BU31" s="3">
        <f t="shared" si="17"/>
        <v>16964.45319221609</v>
      </c>
      <c r="BV31" s="3">
        <f t="shared" si="18"/>
        <v>6207.5567833041014</v>
      </c>
      <c r="BW31" s="3">
        <f t="shared" si="19"/>
        <v>459927.28489208926</v>
      </c>
      <c r="BX31" s="3">
        <f t="shared" si="20"/>
        <v>316259.81508456019</v>
      </c>
      <c r="BY31" s="3">
        <f t="shared" si="21"/>
        <v>33269.541507911723</v>
      </c>
      <c r="BZ31" s="3">
        <f t="shared" si="22"/>
        <v>7401.9467721795118</v>
      </c>
      <c r="CA31" s="9">
        <f t="shared" si="27"/>
        <v>1.3249718567930528</v>
      </c>
      <c r="CB31" s="9">
        <f t="shared" si="27"/>
        <v>3.1760485340588978</v>
      </c>
      <c r="CC31" s="9">
        <f t="shared" si="27"/>
        <v>1.0436180931481502</v>
      </c>
      <c r="CD31" s="9">
        <f t="shared" si="27"/>
        <v>0.62637017947362605</v>
      </c>
      <c r="CE31" s="9">
        <f t="shared" si="27"/>
        <v>7.259845095988986</v>
      </c>
      <c r="CF31" s="9">
        <f t="shared" si="27"/>
        <v>5.2166697941601887</v>
      </c>
      <c r="CG31" s="9">
        <f t="shared" si="27"/>
        <v>9.6440331280710474</v>
      </c>
      <c r="CH31" s="9">
        <f t="shared" si="27"/>
        <v>2.1920314835118946</v>
      </c>
      <c r="CI31" s="9">
        <f t="shared" si="26"/>
        <v>3.9398064121411083</v>
      </c>
    </row>
    <row r="32" spans="1:88" x14ac:dyDescent="0.25">
      <c r="A32">
        <v>27593</v>
      </c>
      <c r="B32" t="s">
        <v>237</v>
      </c>
      <c r="C32">
        <v>12.556842659999999</v>
      </c>
      <c r="D32">
        <v>-0.97651249200000001</v>
      </c>
      <c r="E32">
        <v>0.442416588</v>
      </c>
      <c r="F32">
        <v>-2.2072239539999998</v>
      </c>
      <c r="G32">
        <v>2.7298416999999998E-2</v>
      </c>
      <c r="H32" s="10">
        <f>G32/(54/81)</f>
        <v>4.0947625500000001E-2</v>
      </c>
      <c r="I32" s="5" t="s">
        <v>238</v>
      </c>
      <c r="J32" t="s">
        <v>239</v>
      </c>
      <c r="K32">
        <v>159</v>
      </c>
      <c r="L32">
        <v>1028</v>
      </c>
      <c r="M32">
        <v>1.9990000000000001</v>
      </c>
      <c r="N32">
        <v>1028</v>
      </c>
      <c r="O32">
        <v>0.98099999999999998</v>
      </c>
      <c r="P32" t="s">
        <v>36</v>
      </c>
      <c r="Q32" t="s">
        <v>240</v>
      </c>
      <c r="R32">
        <v>177</v>
      </c>
      <c r="S32">
        <v>8.5000000000000006E-2</v>
      </c>
      <c r="T32">
        <v>21</v>
      </c>
      <c r="U32" t="s">
        <v>43</v>
      </c>
      <c r="V32">
        <v>-1</v>
      </c>
      <c r="W32">
        <v>160</v>
      </c>
      <c r="X32">
        <v>28</v>
      </c>
      <c r="Y32">
        <v>61</v>
      </c>
      <c r="Z32">
        <v>728</v>
      </c>
      <c r="AA32">
        <v>41</v>
      </c>
      <c r="AB32">
        <v>5</v>
      </c>
      <c r="AC32">
        <v>5</v>
      </c>
      <c r="AD32">
        <v>1028</v>
      </c>
      <c r="AE32">
        <v>0</v>
      </c>
      <c r="AF32">
        <v>9</v>
      </c>
      <c r="AG32">
        <v>11</v>
      </c>
      <c r="AH32">
        <v>5</v>
      </c>
      <c r="AI32">
        <v>0</v>
      </c>
      <c r="AJ32">
        <v>5</v>
      </c>
      <c r="AK32">
        <v>40</v>
      </c>
      <c r="AL32">
        <v>32</v>
      </c>
      <c r="AM32">
        <v>5</v>
      </c>
      <c r="AN32">
        <v>7</v>
      </c>
      <c r="AO32">
        <v>14</v>
      </c>
      <c r="AP32">
        <v>76</v>
      </c>
      <c r="AQ32">
        <v>2</v>
      </c>
      <c r="AR32">
        <v>24</v>
      </c>
      <c r="AS32">
        <v>68</v>
      </c>
      <c r="AT32">
        <v>24</v>
      </c>
      <c r="AU32">
        <v>1</v>
      </c>
      <c r="AV32">
        <v>1</v>
      </c>
      <c r="AW32">
        <v>12</v>
      </c>
      <c r="AX32">
        <v>33</v>
      </c>
      <c r="AY32">
        <v>2</v>
      </c>
      <c r="AZ32">
        <v>6</v>
      </c>
      <c r="BA32">
        <v>5</v>
      </c>
      <c r="BB32">
        <v>2</v>
      </c>
      <c r="BC32" s="3">
        <f t="shared" si="24"/>
        <v>0</v>
      </c>
      <c r="BD32" s="3">
        <f t="shared" si="0"/>
        <v>25.8942805576247</v>
      </c>
      <c r="BE32" s="3">
        <f t="shared" si="1"/>
        <v>34.865016917457076</v>
      </c>
      <c r="BF32" s="3">
        <f t="shared" si="2"/>
        <v>38.144819094380964</v>
      </c>
      <c r="BG32" s="3">
        <f t="shared" si="3"/>
        <v>0</v>
      </c>
      <c r="BH32" s="3">
        <f t="shared" si="4"/>
        <v>36.767409368335905</v>
      </c>
      <c r="BI32" s="3">
        <f t="shared" si="5"/>
        <v>144.39025798929347</v>
      </c>
      <c r="BJ32" s="3">
        <f t="shared" si="6"/>
        <v>120.31140350959643</v>
      </c>
      <c r="BK32" s="3">
        <f t="shared" si="7"/>
        <v>19.415933763706921</v>
      </c>
      <c r="BL32" s="3">
        <f t="shared" si="8"/>
        <v>24.032515306566488</v>
      </c>
      <c r="BM32" s="3">
        <f t="shared" si="9"/>
        <v>50.206537142168592</v>
      </c>
      <c r="BN32" s="3">
        <f t="shared" si="10"/>
        <v>234.05878725211133</v>
      </c>
      <c r="BO32" s="3">
        <f t="shared" si="11"/>
        <v>9.7637466229641383</v>
      </c>
      <c r="BP32" s="3">
        <f t="shared" si="12"/>
        <v>44.709039161765126</v>
      </c>
      <c r="BQ32" s="3">
        <f t="shared" si="13"/>
        <v>340.76467593279318</v>
      </c>
      <c r="BR32" s="3">
        <f t="shared" si="14"/>
        <v>111.40882023629811</v>
      </c>
      <c r="BS32" s="3">
        <f t="shared" si="15"/>
        <v>5.9309360292205353</v>
      </c>
      <c r="BT32" s="3">
        <f t="shared" si="16"/>
        <v>5.0203147034475011</v>
      </c>
      <c r="BU32" s="3">
        <f t="shared" si="17"/>
        <v>62.008357693144411</v>
      </c>
      <c r="BV32" s="3">
        <f t="shared" si="18"/>
        <v>78.606820356498602</v>
      </c>
      <c r="BW32" s="3">
        <f t="shared" si="19"/>
        <v>9.1402310239092444</v>
      </c>
      <c r="BX32" s="3">
        <f t="shared" si="20"/>
        <v>17.724090850144879</v>
      </c>
      <c r="BY32" s="3">
        <f t="shared" si="21"/>
        <v>37.806297168081507</v>
      </c>
      <c r="BZ32" s="3">
        <f t="shared" si="22"/>
        <v>60.178429042109855</v>
      </c>
      <c r="CA32" s="9">
        <f t="shared" si="27"/>
        <v>0</v>
      </c>
      <c r="CB32" s="9">
        <f t="shared" si="27"/>
        <v>1.0774685973277842</v>
      </c>
      <c r="CC32" s="9">
        <f t="shared" si="27"/>
        <v>0.69443181908225782</v>
      </c>
      <c r="CD32" s="9">
        <f t="shared" si="27"/>
        <v>0.16297110457679206</v>
      </c>
      <c r="CE32" s="9">
        <f t="shared" si="27"/>
        <v>0</v>
      </c>
      <c r="CF32" s="9">
        <f t="shared" si="27"/>
        <v>0.82237082383508586</v>
      </c>
      <c r="CG32" s="9">
        <f t="shared" si="27"/>
        <v>0.42372425367754557</v>
      </c>
      <c r="CH32" s="9">
        <f t="shared" si="27"/>
        <v>1.079909142331962</v>
      </c>
      <c r="CI32" s="9">
        <f>AVERAGE(CE32:CG32)/AVERAGE(CA32:CC32)</f>
        <v>0.70325344809009172</v>
      </c>
      <c r="CJ32" t="s">
        <v>469</v>
      </c>
    </row>
    <row r="33" spans="1:88" x14ac:dyDescent="0.25">
      <c r="A33">
        <v>38418</v>
      </c>
      <c r="B33" t="s">
        <v>241</v>
      </c>
      <c r="C33">
        <v>30.231118609999999</v>
      </c>
      <c r="D33">
        <v>-0.765355703</v>
      </c>
      <c r="E33">
        <v>0.352496963</v>
      </c>
      <c r="F33">
        <v>-2.1712405619999999</v>
      </c>
      <c r="G33">
        <v>2.9912992999999999E-2</v>
      </c>
      <c r="H33" s="10">
        <f>G33/(53/81)</f>
        <v>4.5716083641509433E-2</v>
      </c>
      <c r="I33" s="5" t="s">
        <v>242</v>
      </c>
      <c r="J33" t="s">
        <v>243</v>
      </c>
      <c r="K33">
        <v>515</v>
      </c>
      <c r="L33">
        <v>1955</v>
      </c>
      <c r="M33">
        <v>3.8010000000000002</v>
      </c>
      <c r="N33">
        <v>42</v>
      </c>
      <c r="O33">
        <v>0.83399999999999996</v>
      </c>
      <c r="P33" t="s">
        <v>36</v>
      </c>
      <c r="Q33" t="s">
        <v>192</v>
      </c>
      <c r="R33">
        <v>1075</v>
      </c>
      <c r="S33">
        <v>5.5E-2</v>
      </c>
      <c r="T33">
        <v>21</v>
      </c>
      <c r="U33" t="s">
        <v>210</v>
      </c>
      <c r="V33">
        <v>-1</v>
      </c>
      <c r="W33">
        <v>33</v>
      </c>
      <c r="X33">
        <v>57</v>
      </c>
      <c r="Y33">
        <v>82</v>
      </c>
      <c r="Z33">
        <v>1463</v>
      </c>
      <c r="AA33">
        <v>299</v>
      </c>
      <c r="AB33">
        <v>17</v>
      </c>
      <c r="AC33">
        <v>4</v>
      </c>
      <c r="AD33">
        <v>1955</v>
      </c>
      <c r="AE33">
        <v>7</v>
      </c>
      <c r="AF33">
        <v>23</v>
      </c>
      <c r="AG33">
        <v>165</v>
      </c>
      <c r="AH33">
        <v>19</v>
      </c>
      <c r="AI33">
        <v>4</v>
      </c>
      <c r="AJ33">
        <v>13</v>
      </c>
      <c r="AK33">
        <v>27</v>
      </c>
      <c r="AL33">
        <v>37</v>
      </c>
      <c r="AM33">
        <v>13</v>
      </c>
      <c r="AN33">
        <v>43</v>
      </c>
      <c r="AO33">
        <v>100</v>
      </c>
      <c r="AP33">
        <v>89</v>
      </c>
      <c r="AQ33">
        <v>44</v>
      </c>
      <c r="AR33">
        <v>179</v>
      </c>
      <c r="AS33">
        <v>21</v>
      </c>
      <c r="AT33">
        <v>22</v>
      </c>
      <c r="AU33">
        <v>11</v>
      </c>
      <c r="AV33">
        <v>23</v>
      </c>
      <c r="AW33">
        <v>58</v>
      </c>
      <c r="AX33">
        <v>32</v>
      </c>
      <c r="AY33">
        <v>10</v>
      </c>
      <c r="AZ33">
        <v>33</v>
      </c>
      <c r="BA33">
        <v>30</v>
      </c>
      <c r="BB33">
        <v>5</v>
      </c>
      <c r="BC33" s="3">
        <f t="shared" si="24"/>
        <v>78.879149817986359</v>
      </c>
      <c r="BD33" s="3">
        <f t="shared" si="0"/>
        <v>66.174272536152003</v>
      </c>
      <c r="BE33" s="3">
        <f t="shared" si="1"/>
        <v>522.97525376185604</v>
      </c>
      <c r="BF33" s="3">
        <f t="shared" si="2"/>
        <v>144.95031255864765</v>
      </c>
      <c r="BG33" s="3">
        <f t="shared" si="3"/>
        <v>60.032342424481193</v>
      </c>
      <c r="BH33" s="3">
        <f t="shared" si="4"/>
        <v>95.595264357673358</v>
      </c>
      <c r="BI33" s="3">
        <f t="shared" si="5"/>
        <v>97.463424142773093</v>
      </c>
      <c r="BJ33" s="3">
        <f t="shared" si="6"/>
        <v>139.11006030797088</v>
      </c>
      <c r="BK33" s="3">
        <f t="shared" si="7"/>
        <v>50.481427785637997</v>
      </c>
      <c r="BL33" s="3">
        <f t="shared" si="8"/>
        <v>147.62830831176558</v>
      </c>
      <c r="BM33" s="3">
        <f t="shared" si="9"/>
        <v>358.61812244406144</v>
      </c>
      <c r="BN33" s="3">
        <f t="shared" si="10"/>
        <v>274.09515875576199</v>
      </c>
      <c r="BO33" s="3">
        <f t="shared" si="11"/>
        <v>214.80242570521102</v>
      </c>
      <c r="BP33" s="3">
        <f t="shared" si="12"/>
        <v>333.45491708149825</v>
      </c>
      <c r="BQ33" s="3">
        <f t="shared" si="13"/>
        <v>105.23614992042143</v>
      </c>
      <c r="BR33" s="3">
        <f t="shared" si="14"/>
        <v>102.12475188327326</v>
      </c>
      <c r="BS33" s="3">
        <f t="shared" si="15"/>
        <v>65.240296321425888</v>
      </c>
      <c r="BT33" s="3">
        <f t="shared" si="16"/>
        <v>115.46723817929251</v>
      </c>
      <c r="BU33" s="3">
        <f t="shared" si="17"/>
        <v>299.70706218353132</v>
      </c>
      <c r="BV33" s="3">
        <f t="shared" si="18"/>
        <v>76.224795497210778</v>
      </c>
      <c r="BW33" s="3">
        <f t="shared" si="19"/>
        <v>45.701155119546229</v>
      </c>
      <c r="BX33" s="3">
        <f t="shared" si="20"/>
        <v>97.482499675796845</v>
      </c>
      <c r="BY33" s="3">
        <f t="shared" si="21"/>
        <v>226.83778300848903</v>
      </c>
      <c r="BZ33" s="3">
        <f t="shared" si="22"/>
        <v>150.44607260527465</v>
      </c>
      <c r="CA33" s="9">
        <f t="shared" si="27"/>
        <v>1.562538012057328</v>
      </c>
      <c r="CB33" s="9">
        <f t="shared" si="27"/>
        <v>0.44824920974101612</v>
      </c>
      <c r="CC33" s="9">
        <f t="shared" si="27"/>
        <v>1.4583068200727407</v>
      </c>
      <c r="CD33" s="9">
        <f t="shared" si="27"/>
        <v>0.52883207867165782</v>
      </c>
      <c r="CE33" s="9">
        <f t="shared" si="27"/>
        <v>0.27947702279148345</v>
      </c>
      <c r="CF33" s="9">
        <f t="shared" si="27"/>
        <v>0.28668122573915844</v>
      </c>
      <c r="CG33" s="9">
        <f t="shared" si="27"/>
        <v>0.92614015446663533</v>
      </c>
      <c r="CH33" s="9">
        <f t="shared" si="27"/>
        <v>1.3621581227141797</v>
      </c>
      <c r="CI33" s="9">
        <f t="shared" si="26"/>
        <v>0.71398431077659519</v>
      </c>
    </row>
    <row r="34" spans="1:88" x14ac:dyDescent="0.25">
      <c r="A34">
        <v>13819</v>
      </c>
      <c r="B34" t="s">
        <v>244</v>
      </c>
      <c r="C34">
        <v>19.820458110000001</v>
      </c>
      <c r="D34">
        <v>0.74143642799999998</v>
      </c>
      <c r="E34">
        <v>0.34407558300000002</v>
      </c>
      <c r="F34">
        <v>2.1548649900000001</v>
      </c>
      <c r="G34">
        <v>3.1172400999999999E-2</v>
      </c>
      <c r="H34" s="10">
        <f>G34/(52/81)</f>
        <v>4.8557009249999998E-2</v>
      </c>
      <c r="I34" s="5" t="s">
        <v>245</v>
      </c>
      <c r="J34" t="s">
        <v>246</v>
      </c>
      <c r="K34">
        <v>1043</v>
      </c>
      <c r="L34">
        <v>3916</v>
      </c>
      <c r="M34">
        <v>7.6139999999999999</v>
      </c>
      <c r="N34">
        <v>758</v>
      </c>
      <c r="O34">
        <v>0.65300000000000002</v>
      </c>
      <c r="P34" t="s">
        <v>47</v>
      </c>
      <c r="Q34" t="s">
        <v>247</v>
      </c>
      <c r="R34">
        <v>236</v>
      </c>
      <c r="S34">
        <v>0.28899999999999998</v>
      </c>
      <c r="T34">
        <v>21</v>
      </c>
      <c r="U34" t="s">
        <v>49</v>
      </c>
      <c r="V34">
        <v>24</v>
      </c>
      <c r="W34">
        <v>76</v>
      </c>
      <c r="X34">
        <v>40</v>
      </c>
      <c r="Y34">
        <v>111</v>
      </c>
      <c r="Z34">
        <v>2879</v>
      </c>
      <c r="AA34">
        <v>605</v>
      </c>
      <c r="AB34">
        <v>68</v>
      </c>
      <c r="AC34">
        <v>137</v>
      </c>
      <c r="AD34">
        <v>3916</v>
      </c>
      <c r="AE34">
        <v>20</v>
      </c>
      <c r="AF34">
        <v>29</v>
      </c>
      <c r="AG34">
        <v>38</v>
      </c>
      <c r="AH34">
        <v>7</v>
      </c>
      <c r="AI34">
        <v>10</v>
      </c>
      <c r="AJ34">
        <v>26</v>
      </c>
      <c r="AK34">
        <v>56</v>
      </c>
      <c r="AL34">
        <v>45</v>
      </c>
      <c r="AM34">
        <v>25</v>
      </c>
      <c r="AN34">
        <v>9</v>
      </c>
      <c r="AO34">
        <v>21</v>
      </c>
      <c r="AP34">
        <v>44</v>
      </c>
      <c r="AQ34">
        <v>10</v>
      </c>
      <c r="AR34">
        <v>47</v>
      </c>
      <c r="AS34">
        <v>12</v>
      </c>
      <c r="AT34">
        <v>13</v>
      </c>
      <c r="AU34">
        <v>8</v>
      </c>
      <c r="AV34">
        <v>22</v>
      </c>
      <c r="AW34">
        <v>12</v>
      </c>
      <c r="AX34">
        <v>23</v>
      </c>
      <c r="AY34">
        <v>21</v>
      </c>
      <c r="AZ34">
        <v>46</v>
      </c>
      <c r="BA34">
        <v>14</v>
      </c>
      <c r="BB34">
        <v>2</v>
      </c>
      <c r="BC34" s="3">
        <f t="shared" si="24"/>
        <v>225.36899947996105</v>
      </c>
      <c r="BD34" s="3">
        <f t="shared" si="0"/>
        <v>83.437126241235134</v>
      </c>
      <c r="BE34" s="3">
        <f t="shared" si="1"/>
        <v>120.44278571485169</v>
      </c>
      <c r="BF34" s="3">
        <f t="shared" si="2"/>
        <v>53.402746732133352</v>
      </c>
      <c r="BG34" s="3">
        <f t="shared" si="3"/>
        <v>150.08085606120298</v>
      </c>
      <c r="BH34" s="3">
        <f t="shared" si="4"/>
        <v>191.19052871534672</v>
      </c>
      <c r="BI34" s="3">
        <f t="shared" si="5"/>
        <v>202.14636118501085</v>
      </c>
      <c r="BJ34" s="3">
        <f t="shared" si="6"/>
        <v>169.18791118536998</v>
      </c>
      <c r="BK34" s="3">
        <f t="shared" si="7"/>
        <v>97.0796688185346</v>
      </c>
      <c r="BL34" s="3">
        <f t="shared" si="8"/>
        <v>30.898948251299771</v>
      </c>
      <c r="BM34" s="3">
        <f t="shared" si="9"/>
        <v>75.309805713252899</v>
      </c>
      <c r="BN34" s="3">
        <f t="shared" si="10"/>
        <v>135.50771893543288</v>
      </c>
      <c r="BO34" s="3">
        <f t="shared" si="11"/>
        <v>48.818733114820688</v>
      </c>
      <c r="BP34" s="3">
        <f t="shared" si="12"/>
        <v>87.555201691790046</v>
      </c>
      <c r="BQ34" s="3">
        <f t="shared" si="13"/>
        <v>60.134942811669383</v>
      </c>
      <c r="BR34" s="3">
        <f t="shared" si="14"/>
        <v>60.346444294661474</v>
      </c>
      <c r="BS34" s="3">
        <f t="shared" si="15"/>
        <v>47.447488233764282</v>
      </c>
      <c r="BT34" s="3">
        <f t="shared" si="16"/>
        <v>110.44692347584501</v>
      </c>
      <c r="BU34" s="3">
        <f t="shared" si="17"/>
        <v>62.008357693144411</v>
      </c>
      <c r="BV34" s="3">
        <f t="shared" si="18"/>
        <v>54.786571763620238</v>
      </c>
      <c r="BW34" s="3">
        <f t="shared" si="19"/>
        <v>95.972425751047069</v>
      </c>
      <c r="BX34" s="3">
        <f t="shared" si="20"/>
        <v>135.8846965177774</v>
      </c>
      <c r="BY34" s="3">
        <f t="shared" si="21"/>
        <v>105.85763207062821</v>
      </c>
      <c r="BZ34" s="3">
        <f t="shared" si="22"/>
        <v>60.178429042109855</v>
      </c>
      <c r="CA34" s="9">
        <f t="shared" si="27"/>
        <v>2.3214850464851735</v>
      </c>
      <c r="CB34" s="9">
        <f t="shared" si="27"/>
        <v>2.700322534043706</v>
      </c>
      <c r="CC34" s="9">
        <f t="shared" si="27"/>
        <v>1.5992975227348962</v>
      </c>
      <c r="CD34" s="9">
        <f t="shared" si="27"/>
        <v>0.39409376197660628</v>
      </c>
      <c r="CE34" s="9">
        <f t="shared" si="27"/>
        <v>3.0742472507063181</v>
      </c>
      <c r="CF34" s="9">
        <f t="shared" si="27"/>
        <v>2.1836569960557175</v>
      </c>
      <c r="CG34" s="9">
        <f t="shared" si="27"/>
        <v>3.3615457458418616</v>
      </c>
      <c r="CH34" s="9">
        <f t="shared" si="27"/>
        <v>2.8036102733618247</v>
      </c>
      <c r="CI34" s="9">
        <f t="shared" si="26"/>
        <v>1.628330213497704</v>
      </c>
    </row>
    <row r="35" spans="1:88" x14ac:dyDescent="0.25">
      <c r="A35">
        <v>15360</v>
      </c>
      <c r="B35" t="s">
        <v>248</v>
      </c>
      <c r="C35">
        <v>5.7209437489999999</v>
      </c>
      <c r="D35">
        <v>1.198687804</v>
      </c>
      <c r="E35">
        <v>0.56492383800000001</v>
      </c>
      <c r="F35">
        <v>2.1218573630000002</v>
      </c>
      <c r="G35">
        <v>3.3849718000000001E-2</v>
      </c>
      <c r="H35" s="10">
        <f>G35/(51/81)</f>
        <v>5.3761316823529415E-2</v>
      </c>
      <c r="I35" s="5" t="s">
        <v>249</v>
      </c>
      <c r="J35" t="s">
        <v>250</v>
      </c>
      <c r="K35">
        <v>188</v>
      </c>
      <c r="L35">
        <v>18915</v>
      </c>
      <c r="M35">
        <v>36.777000000000001</v>
      </c>
      <c r="N35">
        <v>228</v>
      </c>
      <c r="O35">
        <v>2E-3</v>
      </c>
      <c r="P35" t="s">
        <v>88</v>
      </c>
      <c r="Q35" t="s">
        <v>251</v>
      </c>
      <c r="R35">
        <v>16025</v>
      </c>
      <c r="S35">
        <v>1.0999999999999999E-2</v>
      </c>
      <c r="T35">
        <v>21</v>
      </c>
      <c r="U35" t="s">
        <v>43</v>
      </c>
      <c r="V35">
        <v>-1</v>
      </c>
      <c r="W35">
        <v>52</v>
      </c>
      <c r="X35">
        <v>13</v>
      </c>
      <c r="Y35">
        <v>268</v>
      </c>
      <c r="Z35">
        <v>18369</v>
      </c>
      <c r="AA35">
        <v>149</v>
      </c>
      <c r="AB35">
        <v>49</v>
      </c>
      <c r="AC35">
        <v>15</v>
      </c>
      <c r="AD35">
        <v>18915</v>
      </c>
      <c r="AE35">
        <v>4</v>
      </c>
      <c r="AF35">
        <v>28</v>
      </c>
      <c r="AG35">
        <v>11</v>
      </c>
      <c r="AH35">
        <v>0</v>
      </c>
      <c r="AI35">
        <v>1</v>
      </c>
      <c r="AJ35">
        <v>17</v>
      </c>
      <c r="AK35">
        <v>2</v>
      </c>
      <c r="AL35">
        <v>8</v>
      </c>
      <c r="AM35">
        <v>28</v>
      </c>
      <c r="AN35">
        <v>1</v>
      </c>
      <c r="AO35">
        <v>1</v>
      </c>
      <c r="AP35">
        <v>0</v>
      </c>
      <c r="AQ35">
        <v>6</v>
      </c>
      <c r="AR35">
        <v>6</v>
      </c>
      <c r="AS35">
        <v>0</v>
      </c>
      <c r="AT35">
        <v>0</v>
      </c>
      <c r="AU35">
        <v>4</v>
      </c>
      <c r="AV35">
        <v>7</v>
      </c>
      <c r="AW35">
        <v>9</v>
      </c>
      <c r="AX35">
        <v>0</v>
      </c>
      <c r="AY35">
        <v>11</v>
      </c>
      <c r="AZ35">
        <v>9</v>
      </c>
      <c r="BA35">
        <v>6</v>
      </c>
      <c r="BB35">
        <v>1</v>
      </c>
      <c r="BC35" s="3">
        <f t="shared" si="24"/>
        <v>45.073799895992202</v>
      </c>
      <c r="BD35" s="3">
        <f t="shared" si="0"/>
        <v>80.559983957054627</v>
      </c>
      <c r="BE35" s="3">
        <f t="shared" si="1"/>
        <v>34.865016917457076</v>
      </c>
      <c r="BF35" s="3">
        <f t="shared" si="2"/>
        <v>0</v>
      </c>
      <c r="BG35" s="3">
        <f t="shared" si="3"/>
        <v>15.008085606120298</v>
      </c>
      <c r="BH35" s="3">
        <f t="shared" si="4"/>
        <v>125.00919185234207</v>
      </c>
      <c r="BI35" s="3">
        <f t="shared" si="5"/>
        <v>7.2195128994646733</v>
      </c>
      <c r="BJ35" s="3">
        <f t="shared" si="6"/>
        <v>30.077850877399108</v>
      </c>
      <c r="BK35" s="3">
        <f t="shared" si="7"/>
        <v>108.72922907675876</v>
      </c>
      <c r="BL35" s="3">
        <f t="shared" si="8"/>
        <v>3.4332164723666416</v>
      </c>
      <c r="BM35" s="3">
        <f t="shared" si="9"/>
        <v>3.5861812244406139</v>
      </c>
      <c r="BN35" s="3">
        <f t="shared" si="10"/>
        <v>0</v>
      </c>
      <c r="BO35" s="3">
        <f t="shared" si="11"/>
        <v>29.291239868892411</v>
      </c>
      <c r="BP35" s="3">
        <f t="shared" si="12"/>
        <v>11.177259790441282</v>
      </c>
      <c r="BQ35" s="3">
        <f t="shared" si="13"/>
        <v>0</v>
      </c>
      <c r="BR35" s="3">
        <f t="shared" si="14"/>
        <v>0</v>
      </c>
      <c r="BS35" s="3">
        <f t="shared" si="15"/>
        <v>23.723744116882141</v>
      </c>
      <c r="BT35" s="3">
        <f t="shared" si="16"/>
        <v>35.142202924132498</v>
      </c>
      <c r="BU35" s="3">
        <f t="shared" si="17"/>
        <v>46.50626826985831</v>
      </c>
      <c r="BV35" s="3">
        <f t="shared" si="18"/>
        <v>0</v>
      </c>
      <c r="BW35" s="3">
        <f t="shared" si="19"/>
        <v>50.271270631500848</v>
      </c>
      <c r="BX35" s="3">
        <f t="shared" si="20"/>
        <v>26.586136275217317</v>
      </c>
      <c r="BY35" s="3">
        <f t="shared" si="21"/>
        <v>45.3675566016978</v>
      </c>
      <c r="BZ35" s="3">
        <f t="shared" si="22"/>
        <v>30.089214521054927</v>
      </c>
      <c r="CA35" s="9">
        <f t="shared" si="27"/>
        <v>0.41455090115806664</v>
      </c>
      <c r="CB35" s="9">
        <f t="shared" si="27"/>
        <v>23.464871675138411</v>
      </c>
      <c r="CC35" s="9">
        <f t="shared" si="27"/>
        <v>9.7220454671516094</v>
      </c>
      <c r="CD35" s="9"/>
      <c r="CE35" s="9">
        <f t="shared" si="27"/>
        <v>0.51237454178438635</v>
      </c>
      <c r="CF35" s="9">
        <f t="shared" si="27"/>
        <v>11.184243204157168</v>
      </c>
      <c r="CG35" s="9">
        <f>BI35/1</f>
        <v>7.2195128994646733</v>
      </c>
      <c r="CH35" s="9">
        <f>BJ35/1</f>
        <v>30.077850877399108</v>
      </c>
      <c r="CI35" s="9">
        <f t="shared" si="26"/>
        <v>1.0935678790757168</v>
      </c>
      <c r="CJ35" t="s">
        <v>472</v>
      </c>
    </row>
    <row r="36" spans="1:88" x14ac:dyDescent="0.25">
      <c r="A36">
        <v>18092</v>
      </c>
      <c r="B36" t="s">
        <v>252</v>
      </c>
      <c r="C36">
        <v>155.59564349999999</v>
      </c>
      <c r="D36">
        <v>0.61125570500000004</v>
      </c>
      <c r="E36">
        <v>0.290326572</v>
      </c>
      <c r="F36">
        <v>2.10540737</v>
      </c>
      <c r="G36">
        <v>3.5255862999999998E-2</v>
      </c>
      <c r="H36" s="10">
        <f>G36/(50/81)</f>
        <v>5.7114498059999998E-2</v>
      </c>
      <c r="I36" s="5" t="s">
        <v>253</v>
      </c>
      <c r="J36" t="s">
        <v>254</v>
      </c>
      <c r="K36">
        <v>1854</v>
      </c>
      <c r="L36">
        <v>316689</v>
      </c>
      <c r="M36">
        <v>615.75599999999997</v>
      </c>
      <c r="N36">
        <v>303847</v>
      </c>
      <c r="O36">
        <v>0.26300000000000001</v>
      </c>
      <c r="P36" t="s">
        <v>47</v>
      </c>
      <c r="Q36" t="s">
        <v>255</v>
      </c>
      <c r="R36">
        <v>138338</v>
      </c>
      <c r="S36">
        <v>2.1000000000000001E-2</v>
      </c>
      <c r="T36">
        <v>21</v>
      </c>
      <c r="U36" t="s">
        <v>49</v>
      </c>
      <c r="V36">
        <v>5365.9</v>
      </c>
      <c r="W36">
        <v>1332</v>
      </c>
      <c r="X36">
        <v>670</v>
      </c>
      <c r="Y36">
        <v>3315</v>
      </c>
      <c r="Z36">
        <v>284821</v>
      </c>
      <c r="AA36">
        <v>17331</v>
      </c>
      <c r="AB36">
        <v>2445</v>
      </c>
      <c r="AC36">
        <v>6775</v>
      </c>
      <c r="AD36">
        <v>316689</v>
      </c>
      <c r="AE36">
        <v>159</v>
      </c>
      <c r="AF36">
        <v>329</v>
      </c>
      <c r="AG36">
        <v>225</v>
      </c>
      <c r="AH36">
        <v>41</v>
      </c>
      <c r="AI36">
        <v>56</v>
      </c>
      <c r="AJ36">
        <v>196</v>
      </c>
      <c r="AK36">
        <v>363</v>
      </c>
      <c r="AL36">
        <v>197</v>
      </c>
      <c r="AM36">
        <v>360</v>
      </c>
      <c r="AN36">
        <v>163</v>
      </c>
      <c r="AO36">
        <v>133</v>
      </c>
      <c r="AP36">
        <v>187</v>
      </c>
      <c r="AQ36">
        <v>70</v>
      </c>
      <c r="AR36">
        <v>443</v>
      </c>
      <c r="AS36">
        <v>85</v>
      </c>
      <c r="AT36">
        <v>35</v>
      </c>
      <c r="AU36">
        <v>132</v>
      </c>
      <c r="AV36">
        <v>174</v>
      </c>
      <c r="AW36">
        <v>105</v>
      </c>
      <c r="AX36">
        <v>185</v>
      </c>
      <c r="AY36">
        <v>294</v>
      </c>
      <c r="AZ36">
        <v>391</v>
      </c>
      <c r="BA36">
        <v>93</v>
      </c>
      <c r="BB36">
        <v>20</v>
      </c>
      <c r="BC36" s="3">
        <f t="shared" si="24"/>
        <v>1791.6835458656901</v>
      </c>
      <c r="BD36" s="3">
        <f t="shared" si="0"/>
        <v>946.57981149539171</v>
      </c>
      <c r="BE36" s="3">
        <f t="shared" si="1"/>
        <v>713.14807331162194</v>
      </c>
      <c r="BF36" s="3">
        <f t="shared" si="2"/>
        <v>312.78751657392388</v>
      </c>
      <c r="BG36" s="3">
        <f t="shared" si="3"/>
        <v>840.45279394273666</v>
      </c>
      <c r="BH36" s="3">
        <f t="shared" si="4"/>
        <v>1441.2824472387676</v>
      </c>
      <c r="BI36" s="3">
        <f t="shared" si="5"/>
        <v>1310.341591252838</v>
      </c>
      <c r="BJ36" s="3">
        <f t="shared" si="6"/>
        <v>740.66707785595304</v>
      </c>
      <c r="BK36" s="3">
        <f t="shared" si="7"/>
        <v>1397.9472309868984</v>
      </c>
      <c r="BL36" s="3">
        <f t="shared" si="8"/>
        <v>559.61428499576255</v>
      </c>
      <c r="BM36" s="3">
        <f t="shared" si="9"/>
        <v>476.96210285060164</v>
      </c>
      <c r="BN36" s="3">
        <f t="shared" si="10"/>
        <v>575.90780547558973</v>
      </c>
      <c r="BO36" s="3">
        <f t="shared" si="11"/>
        <v>341.73113180374474</v>
      </c>
      <c r="BP36" s="3">
        <f t="shared" si="12"/>
        <v>825.25434786091466</v>
      </c>
      <c r="BQ36" s="3">
        <f t="shared" si="13"/>
        <v>425.95584491599152</v>
      </c>
      <c r="BR36" s="3">
        <f t="shared" si="14"/>
        <v>162.47119617793473</v>
      </c>
      <c r="BS36" s="3">
        <f t="shared" si="15"/>
        <v>782.88355585711065</v>
      </c>
      <c r="BT36" s="3">
        <f t="shared" si="16"/>
        <v>873.53475839986504</v>
      </c>
      <c r="BU36" s="3">
        <f t="shared" si="17"/>
        <v>542.57312981501354</v>
      </c>
      <c r="BV36" s="3">
        <f t="shared" si="18"/>
        <v>440.67459896824977</v>
      </c>
      <c r="BW36" s="3">
        <f t="shared" si="19"/>
        <v>1343.6139605146591</v>
      </c>
      <c r="BX36" s="3">
        <f t="shared" si="20"/>
        <v>1155.019920401108</v>
      </c>
      <c r="BY36" s="3">
        <f t="shared" si="21"/>
        <v>703.19712732631592</v>
      </c>
      <c r="BZ36" s="3">
        <f t="shared" si="22"/>
        <v>601.7842904210986</v>
      </c>
      <c r="CA36" s="9">
        <f t="shared" si="27"/>
        <v>1.2816532027470227</v>
      </c>
      <c r="CB36" s="9">
        <f t="shared" si="27"/>
        <v>1.6914861483612045</v>
      </c>
      <c r="CC36" s="9">
        <f t="shared" si="27"/>
        <v>1.4951881272106027</v>
      </c>
      <c r="CD36" s="9">
        <f t="shared" si="27"/>
        <v>0.54312081482490271</v>
      </c>
      <c r="CE36" s="9">
        <f t="shared" si="27"/>
        <v>2.4593978005650547</v>
      </c>
      <c r="CF36" s="9">
        <f t="shared" si="27"/>
        <v>1.7464705893093653</v>
      </c>
      <c r="CG36" s="9">
        <f t="shared" si="27"/>
        <v>3.0762380816989801</v>
      </c>
      <c r="CH36" s="9">
        <f t="shared" si="27"/>
        <v>4.558759307987069</v>
      </c>
      <c r="CI36" s="9">
        <f t="shared" si="26"/>
        <v>2.3627632346841141</v>
      </c>
    </row>
    <row r="37" spans="1:88" x14ac:dyDescent="0.25">
      <c r="A37">
        <v>26333</v>
      </c>
      <c r="B37" t="s">
        <v>256</v>
      </c>
      <c r="C37">
        <v>56.611921080000002</v>
      </c>
      <c r="D37">
        <v>0.62392166800000004</v>
      </c>
      <c r="E37">
        <v>0.29923648200000003</v>
      </c>
      <c r="F37">
        <v>2.0850454599999999</v>
      </c>
      <c r="G37">
        <v>3.7065173999999999E-2</v>
      </c>
      <c r="H37" s="10">
        <f>G37/(49/81)</f>
        <v>6.1271001918367346E-2</v>
      </c>
      <c r="I37" s="5" t="s">
        <v>257</v>
      </c>
      <c r="J37" t="s">
        <v>258</v>
      </c>
      <c r="K37">
        <v>212</v>
      </c>
      <c r="L37">
        <v>6572</v>
      </c>
      <c r="M37">
        <v>12.778</v>
      </c>
      <c r="N37">
        <v>3363</v>
      </c>
      <c r="O37">
        <v>7.2999999999999995E-2</v>
      </c>
      <c r="P37" t="s">
        <v>88</v>
      </c>
      <c r="Q37" t="s">
        <v>259</v>
      </c>
      <c r="R37">
        <v>2483</v>
      </c>
      <c r="S37">
        <v>3.9E-2</v>
      </c>
      <c r="T37">
        <v>20</v>
      </c>
      <c r="U37" t="s">
        <v>221</v>
      </c>
      <c r="V37">
        <v>-1</v>
      </c>
      <c r="W37">
        <v>100</v>
      </c>
      <c r="X37">
        <v>12</v>
      </c>
      <c r="Y37">
        <v>2946</v>
      </c>
      <c r="Z37">
        <v>2805</v>
      </c>
      <c r="AA37">
        <v>192</v>
      </c>
      <c r="AB37">
        <v>164</v>
      </c>
      <c r="AC37">
        <v>353</v>
      </c>
      <c r="AD37">
        <v>6572</v>
      </c>
      <c r="AE37">
        <v>59</v>
      </c>
      <c r="AF37">
        <v>82</v>
      </c>
      <c r="AG37">
        <v>113</v>
      </c>
      <c r="AH37">
        <v>13</v>
      </c>
      <c r="AI37">
        <v>27</v>
      </c>
      <c r="AJ37">
        <v>41</v>
      </c>
      <c r="AK37">
        <v>53</v>
      </c>
      <c r="AL37">
        <v>90</v>
      </c>
      <c r="AM37">
        <v>93</v>
      </c>
      <c r="AN37">
        <v>80</v>
      </c>
      <c r="AO37">
        <v>23</v>
      </c>
      <c r="AP37">
        <v>23</v>
      </c>
      <c r="AQ37">
        <v>61</v>
      </c>
      <c r="AR37">
        <v>139</v>
      </c>
      <c r="AS37">
        <v>18</v>
      </c>
      <c r="AT37">
        <v>26</v>
      </c>
      <c r="AU37">
        <v>157</v>
      </c>
      <c r="AV37">
        <v>30</v>
      </c>
      <c r="AW37">
        <v>58</v>
      </c>
      <c r="AX37">
        <v>30</v>
      </c>
      <c r="AY37">
        <v>124</v>
      </c>
      <c r="AZ37">
        <v>116</v>
      </c>
      <c r="BA37">
        <v>31</v>
      </c>
      <c r="BB37">
        <v>6</v>
      </c>
      <c r="BC37" s="3">
        <f t="shared" si="24"/>
        <v>664.83854846588497</v>
      </c>
      <c r="BD37" s="3">
        <f t="shared" si="0"/>
        <v>235.92566730280282</v>
      </c>
      <c r="BE37" s="3">
        <f t="shared" si="1"/>
        <v>358.158810152059</v>
      </c>
      <c r="BF37" s="3">
        <f t="shared" si="2"/>
        <v>99.176529645390502</v>
      </c>
      <c r="BG37" s="3">
        <f t="shared" si="3"/>
        <v>405.21831136524804</v>
      </c>
      <c r="BH37" s="3">
        <f t="shared" si="4"/>
        <v>301.49275682035443</v>
      </c>
      <c r="BI37" s="3">
        <f t="shared" si="5"/>
        <v>191.31709183581384</v>
      </c>
      <c r="BJ37" s="3">
        <f t="shared" si="6"/>
        <v>338.37582237073997</v>
      </c>
      <c r="BK37" s="3">
        <f t="shared" si="7"/>
        <v>361.13636800494874</v>
      </c>
      <c r="BL37" s="3">
        <f t="shared" si="8"/>
        <v>274.65731778933127</v>
      </c>
      <c r="BM37" s="3">
        <f t="shared" si="9"/>
        <v>82.482168162134116</v>
      </c>
      <c r="BN37" s="3">
        <f t="shared" si="10"/>
        <v>70.833580352612643</v>
      </c>
      <c r="BO37" s="3">
        <f t="shared" si="11"/>
        <v>297.79427200040618</v>
      </c>
      <c r="BP37" s="3">
        <f t="shared" si="12"/>
        <v>258.9398518118897</v>
      </c>
      <c r="BQ37" s="3">
        <f t="shared" si="13"/>
        <v>90.202414217504071</v>
      </c>
      <c r="BR37" s="3">
        <f t="shared" si="14"/>
        <v>120.69288858932295</v>
      </c>
      <c r="BS37" s="3">
        <f t="shared" si="15"/>
        <v>931.15695658762411</v>
      </c>
      <c r="BT37" s="3">
        <f t="shared" si="16"/>
        <v>150.60944110342501</v>
      </c>
      <c r="BU37" s="3">
        <f t="shared" si="17"/>
        <v>299.70706218353132</v>
      </c>
      <c r="BV37" s="3">
        <f t="shared" si="18"/>
        <v>71.460745778635086</v>
      </c>
      <c r="BW37" s="3">
        <f t="shared" si="19"/>
        <v>566.69432348237319</v>
      </c>
      <c r="BX37" s="3">
        <f t="shared" si="20"/>
        <v>342.6657564361343</v>
      </c>
      <c r="BY37" s="3">
        <f t="shared" si="21"/>
        <v>234.39904244210533</v>
      </c>
      <c r="BZ37" s="3">
        <f t="shared" si="22"/>
        <v>180.53528712632959</v>
      </c>
      <c r="CA37" s="9">
        <f t="shared" si="27"/>
        <v>1.8409626040675431</v>
      </c>
      <c r="CB37" s="9">
        <f t="shared" si="27"/>
        <v>0.85898190953631703</v>
      </c>
      <c r="CC37" s="9"/>
      <c r="CD37" s="9">
        <f t="shared" si="27"/>
        <v>1.4001343593206135</v>
      </c>
      <c r="CE37" s="9">
        <f t="shared" si="27"/>
        <v>1.3607323896568948</v>
      </c>
      <c r="CF37" s="9">
        <f t="shared" si="27"/>
        <v>1.1643350944657906</v>
      </c>
      <c r="CG37" s="9">
        <f t="shared" si="27"/>
        <v>2.1209752920192697</v>
      </c>
      <c r="CH37" s="9">
        <f t="shared" si="27"/>
        <v>2.8036102733618247</v>
      </c>
      <c r="CI37" s="9">
        <f>AVERAGE(CE37:CH37)/AVERAGE(CA37:CD37)</f>
        <v>1.3627151965353803</v>
      </c>
      <c r="CJ37" t="s">
        <v>475</v>
      </c>
    </row>
    <row r="38" spans="1:88" x14ac:dyDescent="0.25">
      <c r="A38">
        <v>23098</v>
      </c>
      <c r="B38" t="s">
        <v>260</v>
      </c>
      <c r="C38">
        <v>1.6276999110000001</v>
      </c>
      <c r="D38">
        <v>1.322991453</v>
      </c>
      <c r="E38">
        <v>0.63528429900000005</v>
      </c>
      <c r="F38">
        <v>2.082518732</v>
      </c>
      <c r="G38">
        <v>3.7295113999999997E-2</v>
      </c>
      <c r="H38" s="10">
        <f>G38/(48/81)</f>
        <v>6.2935504874999992E-2</v>
      </c>
      <c r="I38" s="5" t="s">
        <v>261</v>
      </c>
      <c r="J38" t="s">
        <v>262</v>
      </c>
      <c r="K38">
        <v>109</v>
      </c>
      <c r="L38">
        <v>900</v>
      </c>
      <c r="M38">
        <v>1.75</v>
      </c>
      <c r="N38">
        <v>171</v>
      </c>
      <c r="O38">
        <v>0.01</v>
      </c>
      <c r="P38" t="s">
        <v>88</v>
      </c>
      <c r="Q38" t="s">
        <v>263</v>
      </c>
      <c r="R38">
        <v>597</v>
      </c>
      <c r="S38">
        <v>4.7E-2</v>
      </c>
      <c r="T38">
        <v>21</v>
      </c>
      <c r="U38" t="s">
        <v>43</v>
      </c>
      <c r="V38">
        <v>-1</v>
      </c>
      <c r="W38">
        <v>14</v>
      </c>
      <c r="X38">
        <v>2</v>
      </c>
      <c r="Y38">
        <v>54</v>
      </c>
      <c r="Z38">
        <v>819</v>
      </c>
      <c r="AA38">
        <v>8</v>
      </c>
      <c r="AB38">
        <v>1</v>
      </c>
      <c r="AC38">
        <v>2</v>
      </c>
      <c r="AD38">
        <v>900</v>
      </c>
      <c r="AE38">
        <v>0</v>
      </c>
      <c r="AF38">
        <v>17</v>
      </c>
      <c r="AG38">
        <v>6</v>
      </c>
      <c r="AH38">
        <v>1</v>
      </c>
      <c r="AI38">
        <v>0</v>
      </c>
      <c r="AJ38">
        <v>0</v>
      </c>
      <c r="AK38">
        <v>11</v>
      </c>
      <c r="AL38">
        <v>5</v>
      </c>
      <c r="AM38">
        <v>0</v>
      </c>
      <c r="AN38">
        <v>0</v>
      </c>
      <c r="AO38">
        <v>0</v>
      </c>
      <c r="AP38">
        <v>3</v>
      </c>
      <c r="AQ38">
        <v>0</v>
      </c>
      <c r="AR38">
        <v>7</v>
      </c>
      <c r="AS38">
        <v>0</v>
      </c>
      <c r="AT38">
        <v>0</v>
      </c>
      <c r="AU38">
        <v>0</v>
      </c>
      <c r="AV38">
        <v>1</v>
      </c>
      <c r="AW38">
        <v>0</v>
      </c>
      <c r="AX38">
        <v>1</v>
      </c>
      <c r="AY38">
        <v>0</v>
      </c>
      <c r="AZ38">
        <v>3</v>
      </c>
      <c r="BA38">
        <v>2</v>
      </c>
      <c r="BB38">
        <v>1</v>
      </c>
      <c r="BC38" s="3">
        <f t="shared" si="24"/>
        <v>0</v>
      </c>
      <c r="BD38" s="3">
        <f t="shared" si="0"/>
        <v>48.911418831068879</v>
      </c>
      <c r="BE38" s="3">
        <f t="shared" si="1"/>
        <v>19.017281954976585</v>
      </c>
      <c r="BF38" s="3">
        <f t="shared" si="2"/>
        <v>7.6289638188761932</v>
      </c>
      <c r="BG38" s="3">
        <f t="shared" si="3"/>
        <v>0</v>
      </c>
      <c r="BH38" s="3">
        <f t="shared" si="4"/>
        <v>0</v>
      </c>
      <c r="BI38" s="3">
        <f t="shared" si="5"/>
        <v>39.707320947055706</v>
      </c>
      <c r="BJ38" s="3">
        <f t="shared" si="6"/>
        <v>18.798656798374441</v>
      </c>
      <c r="BK38" s="3">
        <f t="shared" si="7"/>
        <v>0</v>
      </c>
      <c r="BL38" s="3">
        <f t="shared" si="8"/>
        <v>0</v>
      </c>
      <c r="BM38" s="3">
        <f t="shared" si="9"/>
        <v>0</v>
      </c>
      <c r="BN38" s="3">
        <f t="shared" si="10"/>
        <v>9.2391626546886059</v>
      </c>
      <c r="BO38" s="3">
        <f t="shared" si="11"/>
        <v>0</v>
      </c>
      <c r="BP38" s="3">
        <f t="shared" si="12"/>
        <v>13.040136422181495</v>
      </c>
      <c r="BQ38" s="3">
        <f t="shared" si="13"/>
        <v>0</v>
      </c>
      <c r="BR38" s="3">
        <f t="shared" si="14"/>
        <v>0</v>
      </c>
      <c r="BS38" s="3">
        <f t="shared" si="15"/>
        <v>0</v>
      </c>
      <c r="BT38" s="3">
        <f t="shared" si="16"/>
        <v>5.0203147034475011</v>
      </c>
      <c r="BU38" s="3">
        <f t="shared" si="17"/>
        <v>0</v>
      </c>
      <c r="BV38" s="3">
        <f t="shared" si="18"/>
        <v>2.3820248592878368</v>
      </c>
      <c r="BW38" s="3">
        <f t="shared" si="19"/>
        <v>0</v>
      </c>
      <c r="BX38" s="3">
        <f t="shared" si="20"/>
        <v>8.8620454250724396</v>
      </c>
      <c r="BY38" s="3">
        <f t="shared" si="21"/>
        <v>15.122518867232602</v>
      </c>
      <c r="BZ38" s="3">
        <f t="shared" si="22"/>
        <v>30.089214521054927</v>
      </c>
      <c r="CA38" s="9"/>
      <c r="CB38" s="9"/>
      <c r="CC38" s="9"/>
      <c r="CD38" s="9">
        <f t="shared" si="27"/>
        <v>0.82572026318907987</v>
      </c>
      <c r="CE38" s="9">
        <f>BG38/1</f>
        <v>0</v>
      </c>
      <c r="CF38" s="9">
        <f t="shared" si="27"/>
        <v>0</v>
      </c>
      <c r="CG38" s="9">
        <f>BI38/1</f>
        <v>39.707320947055706</v>
      </c>
      <c r="CH38" s="9">
        <f>BJ38/1</f>
        <v>18.798656798374441</v>
      </c>
      <c r="CI38" s="9">
        <f t="shared" si="26"/>
        <v>17.713619355624616</v>
      </c>
      <c r="CJ38" t="s">
        <v>474</v>
      </c>
    </row>
    <row r="39" spans="1:88" x14ac:dyDescent="0.25">
      <c r="A39">
        <v>37570</v>
      </c>
      <c r="B39" t="s">
        <v>264</v>
      </c>
      <c r="C39">
        <v>2.8020942020000001</v>
      </c>
      <c r="D39">
        <v>1.27393779</v>
      </c>
      <c r="E39">
        <v>0.61539640100000004</v>
      </c>
      <c r="F39">
        <v>2.0701092619999999</v>
      </c>
      <c r="G39">
        <v>3.8442113999999999E-2</v>
      </c>
      <c r="H39" s="10">
        <f>G39/(47/81)</f>
        <v>6.6251302851063829E-2</v>
      </c>
      <c r="I39" s="5" t="s">
        <v>265</v>
      </c>
      <c r="J39" t="s">
        <v>266</v>
      </c>
      <c r="K39">
        <v>156</v>
      </c>
      <c r="L39">
        <v>520</v>
      </c>
      <c r="M39">
        <v>1.0109999999999999</v>
      </c>
      <c r="N39">
        <v>11</v>
      </c>
      <c r="O39">
        <v>0.96</v>
      </c>
      <c r="P39" t="s">
        <v>36</v>
      </c>
      <c r="Q39" t="s">
        <v>267</v>
      </c>
      <c r="R39">
        <v>185</v>
      </c>
      <c r="S39">
        <v>0.106</v>
      </c>
      <c r="T39">
        <v>21</v>
      </c>
      <c r="U39" t="s">
        <v>43</v>
      </c>
      <c r="V39">
        <v>-1</v>
      </c>
      <c r="W39">
        <v>1</v>
      </c>
      <c r="X39">
        <v>1</v>
      </c>
      <c r="Y39">
        <v>35</v>
      </c>
      <c r="Z39">
        <v>426</v>
      </c>
      <c r="AA39">
        <v>36</v>
      </c>
      <c r="AB39">
        <v>19</v>
      </c>
      <c r="AC39">
        <v>2</v>
      </c>
      <c r="AD39">
        <v>520</v>
      </c>
      <c r="AE39">
        <v>10</v>
      </c>
      <c r="AF39">
        <v>14</v>
      </c>
      <c r="AG39">
        <v>0</v>
      </c>
      <c r="AH39">
        <v>0</v>
      </c>
      <c r="AI39">
        <v>2</v>
      </c>
      <c r="AJ39">
        <v>8</v>
      </c>
      <c r="AK39">
        <v>2</v>
      </c>
      <c r="AL39">
        <v>0</v>
      </c>
      <c r="AM39">
        <v>4</v>
      </c>
      <c r="AN39">
        <v>0</v>
      </c>
      <c r="AO39">
        <v>0</v>
      </c>
      <c r="AP39">
        <v>2</v>
      </c>
      <c r="AQ39">
        <v>4</v>
      </c>
      <c r="AR39">
        <v>4</v>
      </c>
      <c r="AS39">
        <v>0</v>
      </c>
      <c r="AT39">
        <v>0</v>
      </c>
      <c r="AU39">
        <v>3</v>
      </c>
      <c r="AV39">
        <v>1</v>
      </c>
      <c r="AW39">
        <v>0</v>
      </c>
      <c r="AX39">
        <v>2</v>
      </c>
      <c r="AY39">
        <v>0</v>
      </c>
      <c r="AZ39">
        <v>8</v>
      </c>
      <c r="BA39">
        <v>1</v>
      </c>
      <c r="BB39">
        <v>0</v>
      </c>
      <c r="BC39" s="3">
        <f t="shared" si="24"/>
        <v>112.68449973998052</v>
      </c>
      <c r="BD39" s="3">
        <f t="shared" si="0"/>
        <v>40.279991978527313</v>
      </c>
      <c r="BE39" s="3">
        <f t="shared" si="1"/>
        <v>0</v>
      </c>
      <c r="BF39" s="3">
        <f t="shared" si="2"/>
        <v>0</v>
      </c>
      <c r="BG39" s="3">
        <f t="shared" si="3"/>
        <v>30.016171212240597</v>
      </c>
      <c r="BH39" s="3">
        <f t="shared" si="4"/>
        <v>58.827854989337446</v>
      </c>
      <c r="BI39" s="3">
        <f t="shared" si="5"/>
        <v>7.2195128994646733</v>
      </c>
      <c r="BJ39" s="3">
        <f t="shared" si="6"/>
        <v>0</v>
      </c>
      <c r="BK39" s="3">
        <f t="shared" si="7"/>
        <v>15.532747010965538</v>
      </c>
      <c r="BL39" s="3">
        <f t="shared" si="8"/>
        <v>0</v>
      </c>
      <c r="BM39" s="3">
        <f t="shared" si="9"/>
        <v>0</v>
      </c>
      <c r="BN39" s="3">
        <f t="shared" si="10"/>
        <v>6.1594417697924033</v>
      </c>
      <c r="BO39" s="3">
        <f t="shared" si="11"/>
        <v>19.527493245928277</v>
      </c>
      <c r="BP39" s="3">
        <f t="shared" si="12"/>
        <v>7.4515065269608547</v>
      </c>
      <c r="BQ39" s="3">
        <f t="shared" si="13"/>
        <v>0</v>
      </c>
      <c r="BR39" s="3">
        <f t="shared" si="14"/>
        <v>0</v>
      </c>
      <c r="BS39" s="3">
        <f t="shared" si="15"/>
        <v>17.792808087661605</v>
      </c>
      <c r="BT39" s="3">
        <f t="shared" si="16"/>
        <v>5.0203147034475011</v>
      </c>
      <c r="BU39" s="3">
        <f t="shared" si="17"/>
        <v>0</v>
      </c>
      <c r="BV39" s="3">
        <f t="shared" si="18"/>
        <v>4.7640497185756736</v>
      </c>
      <c r="BW39" s="3">
        <f t="shared" si="19"/>
        <v>0</v>
      </c>
      <c r="BX39" s="3">
        <f t="shared" si="20"/>
        <v>23.632121133526507</v>
      </c>
      <c r="BY39" s="3">
        <f t="shared" si="21"/>
        <v>7.5612594336163008</v>
      </c>
      <c r="BZ39" s="3">
        <f t="shared" si="22"/>
        <v>0</v>
      </c>
      <c r="CA39" s="9">
        <f t="shared" si="27"/>
        <v>7.2546407702661666</v>
      </c>
      <c r="CB39" s="9"/>
      <c r="CC39" s="9"/>
      <c r="CD39" s="9">
        <f t="shared" si="27"/>
        <v>0</v>
      </c>
      <c r="CE39" s="9">
        <f t="shared" si="27"/>
        <v>1.5371236253531588</v>
      </c>
      <c r="CF39" s="9">
        <f t="shared" si="27"/>
        <v>7.8947599088168241</v>
      </c>
      <c r="CG39" s="9">
        <f>BI39/1</f>
        <v>7.2195128994646733</v>
      </c>
      <c r="CH39" s="9">
        <f>BJ39/1</f>
        <v>0</v>
      </c>
      <c r="CI39" s="9">
        <f t="shared" si="26"/>
        <v>1.1476375578706797</v>
      </c>
      <c r="CJ39" t="s">
        <v>472</v>
      </c>
    </row>
    <row r="40" spans="1:88" x14ac:dyDescent="0.25">
      <c r="A40">
        <v>10750</v>
      </c>
      <c r="B40" t="s">
        <v>268</v>
      </c>
      <c r="C40">
        <v>831.38146440000003</v>
      </c>
      <c r="D40">
        <v>1.078705239</v>
      </c>
      <c r="E40">
        <v>0.52727189799999996</v>
      </c>
      <c r="F40">
        <v>2.0458234979999999</v>
      </c>
      <c r="G40">
        <v>4.0773739000000003E-2</v>
      </c>
      <c r="H40" s="10">
        <f>G40/(46/81)</f>
        <v>7.1797236065217401E-2</v>
      </c>
      <c r="I40" s="5" t="s">
        <v>269</v>
      </c>
      <c r="J40" t="s">
        <v>270</v>
      </c>
      <c r="K40">
        <v>350</v>
      </c>
      <c r="L40">
        <v>27054</v>
      </c>
      <c r="M40">
        <v>52.603000000000002</v>
      </c>
      <c r="N40">
        <v>26450</v>
      </c>
      <c r="O40">
        <v>0.999</v>
      </c>
      <c r="P40" t="s">
        <v>36</v>
      </c>
      <c r="Q40" t="s">
        <v>271</v>
      </c>
      <c r="R40">
        <v>21844</v>
      </c>
      <c r="S40">
        <v>0.01</v>
      </c>
      <c r="T40">
        <v>21</v>
      </c>
      <c r="U40" t="s">
        <v>90</v>
      </c>
      <c r="V40">
        <v>-1</v>
      </c>
      <c r="W40">
        <v>1083</v>
      </c>
      <c r="X40">
        <v>92</v>
      </c>
      <c r="Y40">
        <v>1148</v>
      </c>
      <c r="Z40">
        <v>23674</v>
      </c>
      <c r="AA40">
        <v>985</v>
      </c>
      <c r="AB40">
        <v>21</v>
      </c>
      <c r="AC40">
        <v>51</v>
      </c>
      <c r="AD40">
        <v>27054</v>
      </c>
      <c r="AE40">
        <v>352</v>
      </c>
      <c r="AF40">
        <v>929</v>
      </c>
      <c r="AG40">
        <v>615</v>
      </c>
      <c r="AH40">
        <v>256</v>
      </c>
      <c r="AI40">
        <v>73</v>
      </c>
      <c r="AJ40">
        <v>3405</v>
      </c>
      <c r="AK40">
        <v>7697</v>
      </c>
      <c r="AL40">
        <v>1643</v>
      </c>
      <c r="AM40">
        <v>616</v>
      </c>
      <c r="AN40">
        <v>259</v>
      </c>
      <c r="AO40">
        <v>587</v>
      </c>
      <c r="AP40">
        <v>2027</v>
      </c>
      <c r="AQ40">
        <v>22</v>
      </c>
      <c r="AR40">
        <v>2087</v>
      </c>
      <c r="AS40">
        <v>838</v>
      </c>
      <c r="AT40">
        <v>357</v>
      </c>
      <c r="AU40">
        <v>39</v>
      </c>
      <c r="AV40">
        <v>256</v>
      </c>
      <c r="AW40">
        <v>80</v>
      </c>
      <c r="AX40">
        <v>1489</v>
      </c>
      <c r="AY40">
        <v>284</v>
      </c>
      <c r="AZ40">
        <v>1108</v>
      </c>
      <c r="BA40">
        <v>189</v>
      </c>
      <c r="BB40">
        <v>49</v>
      </c>
      <c r="BC40" s="3">
        <f t="shared" si="24"/>
        <v>3966.4943908473142</v>
      </c>
      <c r="BD40" s="3">
        <f t="shared" si="0"/>
        <v>2672.8651820037053</v>
      </c>
      <c r="BE40" s="3">
        <f t="shared" si="1"/>
        <v>1949.2714003850999</v>
      </c>
      <c r="BF40" s="3">
        <f t="shared" si="2"/>
        <v>1953.0147376323055</v>
      </c>
      <c r="BG40" s="3">
        <f t="shared" si="3"/>
        <v>1095.5902492467817</v>
      </c>
      <c r="BH40" s="3">
        <f t="shared" si="4"/>
        <v>25038.605779836755</v>
      </c>
      <c r="BI40" s="3">
        <f t="shared" si="5"/>
        <v>27784.295393589797</v>
      </c>
      <c r="BJ40" s="3">
        <f t="shared" si="6"/>
        <v>6177.2386239458419</v>
      </c>
      <c r="BK40" s="3">
        <f t="shared" si="7"/>
        <v>2392.0430396886927</v>
      </c>
      <c r="BL40" s="3">
        <f t="shared" si="8"/>
        <v>889.20306634296003</v>
      </c>
      <c r="BM40" s="3">
        <f t="shared" si="9"/>
        <v>2105.0883787466405</v>
      </c>
      <c r="BN40" s="3">
        <f t="shared" si="10"/>
        <v>6242.594233684601</v>
      </c>
      <c r="BO40" s="3">
        <f t="shared" si="11"/>
        <v>107.40121285260551</v>
      </c>
      <c r="BP40" s="3">
        <f t="shared" si="12"/>
        <v>3887.8235304418258</v>
      </c>
      <c r="BQ40" s="3">
        <f t="shared" si="13"/>
        <v>4199.4235063482456</v>
      </c>
      <c r="BR40" s="3">
        <f t="shared" si="14"/>
        <v>1657.2062010149343</v>
      </c>
      <c r="BS40" s="3">
        <f t="shared" si="15"/>
        <v>231.30650513960089</v>
      </c>
      <c r="BT40" s="3">
        <f t="shared" si="16"/>
        <v>1285.2005640825603</v>
      </c>
      <c r="BU40" s="3">
        <f t="shared" si="17"/>
        <v>413.3890512876294</v>
      </c>
      <c r="BV40" s="3">
        <f t="shared" si="18"/>
        <v>3546.8350154795889</v>
      </c>
      <c r="BW40" s="3">
        <f t="shared" si="19"/>
        <v>1297.9128053951129</v>
      </c>
      <c r="BX40" s="3">
        <f t="shared" si="20"/>
        <v>3273.0487769934211</v>
      </c>
      <c r="BY40" s="3">
        <f t="shared" si="21"/>
        <v>1429.0780329534807</v>
      </c>
      <c r="BZ40" s="3">
        <f t="shared" si="22"/>
        <v>1474.3715115316916</v>
      </c>
      <c r="CA40" s="9">
        <f t="shared" si="27"/>
        <v>1.6582036046322666</v>
      </c>
      <c r="CB40" s="9">
        <f t="shared" si="27"/>
        <v>3.0059108916441795</v>
      </c>
      <c r="CC40" s="9">
        <f t="shared" si="27"/>
        <v>0.92598079019641288</v>
      </c>
      <c r="CD40" s="9">
        <f t="shared" si="27"/>
        <v>0.3128530646912745</v>
      </c>
      <c r="CE40" s="9">
        <f t="shared" si="27"/>
        <v>10.200911331889145</v>
      </c>
      <c r="CF40" s="9">
        <f t="shared" si="27"/>
        <v>6.4402629347200024</v>
      </c>
      <c r="CG40" s="9">
        <f t="shared" si="27"/>
        <v>6.6162165715337897</v>
      </c>
      <c r="CH40" s="9">
        <f t="shared" si="27"/>
        <v>3.7275015143937265</v>
      </c>
      <c r="CI40" s="9">
        <f t="shared" si="26"/>
        <v>4.5714261327078889</v>
      </c>
    </row>
    <row r="41" spans="1:88" x14ac:dyDescent="0.25">
      <c r="A41">
        <v>37505</v>
      </c>
      <c r="B41" t="s">
        <v>272</v>
      </c>
      <c r="C41">
        <v>2.0630645639999998</v>
      </c>
      <c r="D41">
        <v>1.2505595869999999</v>
      </c>
      <c r="E41">
        <v>0.61512381500000002</v>
      </c>
      <c r="F41">
        <v>2.0330209240000001</v>
      </c>
      <c r="G41">
        <v>4.2050408999999997E-2</v>
      </c>
      <c r="H41" s="10">
        <f>G41/(45/81)</f>
        <v>7.5690736199999997E-2</v>
      </c>
      <c r="I41" s="5" t="s">
        <v>273</v>
      </c>
      <c r="J41" t="s">
        <v>274</v>
      </c>
      <c r="K41">
        <v>274</v>
      </c>
      <c r="L41">
        <v>834</v>
      </c>
      <c r="M41">
        <v>1.6220000000000001</v>
      </c>
      <c r="N41">
        <v>28</v>
      </c>
      <c r="O41">
        <v>0.95299999999999996</v>
      </c>
      <c r="P41" t="s">
        <v>36</v>
      </c>
      <c r="Q41" t="s">
        <v>267</v>
      </c>
      <c r="R41">
        <v>402</v>
      </c>
      <c r="S41">
        <v>7.0000000000000007E-2</v>
      </c>
      <c r="T41">
        <v>21</v>
      </c>
      <c r="U41" t="s">
        <v>43</v>
      </c>
      <c r="V41">
        <v>-1</v>
      </c>
      <c r="W41">
        <v>6</v>
      </c>
      <c r="X41">
        <v>3</v>
      </c>
      <c r="Y41">
        <v>37</v>
      </c>
      <c r="Z41">
        <v>675</v>
      </c>
      <c r="AA41">
        <v>50</v>
      </c>
      <c r="AB41">
        <v>53</v>
      </c>
      <c r="AC41">
        <v>10</v>
      </c>
      <c r="AD41">
        <v>834</v>
      </c>
      <c r="AE41">
        <v>4</v>
      </c>
      <c r="AF41">
        <v>11</v>
      </c>
      <c r="AG41">
        <v>0</v>
      </c>
      <c r="AH41">
        <v>0</v>
      </c>
      <c r="AI41">
        <v>0</v>
      </c>
      <c r="AJ41">
        <v>2</v>
      </c>
      <c r="AK41">
        <v>2</v>
      </c>
      <c r="AL41">
        <v>7</v>
      </c>
      <c r="AM41">
        <v>3</v>
      </c>
      <c r="AN41">
        <v>0</v>
      </c>
      <c r="AO41">
        <v>1</v>
      </c>
      <c r="AP41">
        <v>2</v>
      </c>
      <c r="AQ41">
        <v>1</v>
      </c>
      <c r="AR41">
        <v>1</v>
      </c>
      <c r="AS41">
        <v>0</v>
      </c>
      <c r="AT41">
        <v>0</v>
      </c>
      <c r="AU41">
        <v>1</v>
      </c>
      <c r="AV41">
        <v>2</v>
      </c>
      <c r="AW41">
        <v>0</v>
      </c>
      <c r="AX41">
        <v>2</v>
      </c>
      <c r="AY41">
        <v>6</v>
      </c>
      <c r="AZ41">
        <v>2</v>
      </c>
      <c r="BA41">
        <v>4</v>
      </c>
      <c r="BB41">
        <v>1</v>
      </c>
      <c r="BC41" s="3">
        <f t="shared" si="24"/>
        <v>45.073799895992202</v>
      </c>
      <c r="BD41" s="3">
        <f t="shared" si="0"/>
        <v>31.648565125985748</v>
      </c>
      <c r="BE41" s="3">
        <f t="shared" si="1"/>
        <v>0</v>
      </c>
      <c r="BF41" s="3">
        <f t="shared" si="2"/>
        <v>0</v>
      </c>
      <c r="BG41" s="3">
        <f t="shared" si="3"/>
        <v>0</v>
      </c>
      <c r="BH41" s="3">
        <f t="shared" si="4"/>
        <v>14.706963747334362</v>
      </c>
      <c r="BI41" s="3">
        <f t="shared" si="5"/>
        <v>7.2195128994646733</v>
      </c>
      <c r="BJ41" s="3">
        <f t="shared" si="6"/>
        <v>26.318119517724217</v>
      </c>
      <c r="BK41" s="3">
        <f t="shared" si="7"/>
        <v>11.649560258224152</v>
      </c>
      <c r="BL41" s="3">
        <f t="shared" si="8"/>
        <v>0</v>
      </c>
      <c r="BM41" s="3">
        <f t="shared" si="9"/>
        <v>3.5861812244406139</v>
      </c>
      <c r="BN41" s="3">
        <f t="shared" si="10"/>
        <v>6.1594417697924033</v>
      </c>
      <c r="BO41" s="3">
        <f t="shared" si="11"/>
        <v>4.8818733114820692</v>
      </c>
      <c r="BP41" s="3">
        <f t="shared" si="12"/>
        <v>1.8628766317402137</v>
      </c>
      <c r="BQ41" s="3">
        <f t="shared" si="13"/>
        <v>0</v>
      </c>
      <c r="BR41" s="3">
        <f t="shared" si="14"/>
        <v>0</v>
      </c>
      <c r="BS41" s="3">
        <f t="shared" si="15"/>
        <v>5.9309360292205353</v>
      </c>
      <c r="BT41" s="3">
        <f t="shared" si="16"/>
        <v>10.040629406895002</v>
      </c>
      <c r="BU41" s="3">
        <f t="shared" si="17"/>
        <v>0</v>
      </c>
      <c r="BV41" s="3">
        <f t="shared" si="18"/>
        <v>4.7640497185756736</v>
      </c>
      <c r="BW41" s="3">
        <f t="shared" si="19"/>
        <v>27.420693071727733</v>
      </c>
      <c r="BX41" s="3">
        <f t="shared" si="20"/>
        <v>5.9080302833816267</v>
      </c>
      <c r="BY41" s="3">
        <f t="shared" si="21"/>
        <v>30.245037734465203</v>
      </c>
      <c r="BZ41" s="3">
        <f t="shared" si="22"/>
        <v>30.089214521054927</v>
      </c>
      <c r="CA41" s="9">
        <f t="shared" si="27"/>
        <v>3.8691417441419551</v>
      </c>
      <c r="CB41" s="9"/>
      <c r="CC41" s="9">
        <f t="shared" si="27"/>
        <v>0</v>
      </c>
      <c r="CD41" s="9">
        <f t="shared" si="27"/>
        <v>0</v>
      </c>
      <c r="CE41" s="9">
        <f t="shared" si="27"/>
        <v>0</v>
      </c>
      <c r="CF41" s="9">
        <f t="shared" si="27"/>
        <v>7.8947599088168241</v>
      </c>
      <c r="CG41" s="9">
        <f>BI41/1</f>
        <v>7.2195128994646733</v>
      </c>
      <c r="CH41" s="9">
        <f>BJ41/1</f>
        <v>26.318119517724217</v>
      </c>
      <c r="CI41" s="9">
        <f t="shared" si="26"/>
        <v>8.0313145134969748</v>
      </c>
      <c r="CJ41" t="s">
        <v>472</v>
      </c>
    </row>
    <row r="42" spans="1:88" x14ac:dyDescent="0.25">
      <c r="A42">
        <v>40675</v>
      </c>
      <c r="B42" t="s">
        <v>275</v>
      </c>
      <c r="C42">
        <v>1058.536392</v>
      </c>
      <c r="D42">
        <v>0.742954962</v>
      </c>
      <c r="E42">
        <v>0.36950909199999998</v>
      </c>
      <c r="F42">
        <v>2.0106540740000001</v>
      </c>
      <c r="G42">
        <v>4.4362008000000001E-2</v>
      </c>
      <c r="H42" s="10">
        <f>G42/(44/81)</f>
        <v>8.166642381818183E-2</v>
      </c>
      <c r="I42" s="5" t="s">
        <v>276</v>
      </c>
      <c r="J42" t="s">
        <v>277</v>
      </c>
      <c r="K42">
        <v>201</v>
      </c>
      <c r="L42">
        <v>183405</v>
      </c>
      <c r="M42">
        <v>356.60399999999998</v>
      </c>
      <c r="N42">
        <v>182953</v>
      </c>
      <c r="O42">
        <v>1.0999999999999999E-2</v>
      </c>
      <c r="P42" t="s">
        <v>88</v>
      </c>
      <c r="Q42" t="s">
        <v>278</v>
      </c>
      <c r="R42">
        <v>115492</v>
      </c>
      <c r="S42">
        <v>2E-3</v>
      </c>
      <c r="T42">
        <v>21</v>
      </c>
      <c r="U42" t="s">
        <v>43</v>
      </c>
      <c r="V42">
        <v>-1</v>
      </c>
      <c r="W42">
        <v>83</v>
      </c>
      <c r="X42">
        <v>474</v>
      </c>
      <c r="Y42">
        <v>3375</v>
      </c>
      <c r="Z42">
        <v>167107</v>
      </c>
      <c r="AA42">
        <v>11008</v>
      </c>
      <c r="AB42">
        <v>1213</v>
      </c>
      <c r="AC42">
        <v>145</v>
      </c>
      <c r="AD42">
        <v>183405</v>
      </c>
      <c r="AE42">
        <v>502</v>
      </c>
      <c r="AF42">
        <v>8907</v>
      </c>
      <c r="AG42">
        <v>2953</v>
      </c>
      <c r="AH42">
        <v>237</v>
      </c>
      <c r="AI42">
        <v>244</v>
      </c>
      <c r="AJ42">
        <v>551</v>
      </c>
      <c r="AK42">
        <v>1032</v>
      </c>
      <c r="AL42">
        <v>977</v>
      </c>
      <c r="AM42">
        <v>2392</v>
      </c>
      <c r="AN42">
        <v>1084</v>
      </c>
      <c r="AO42">
        <v>392</v>
      </c>
      <c r="AP42">
        <v>689</v>
      </c>
      <c r="AQ42">
        <v>3551</v>
      </c>
      <c r="AR42">
        <v>1908</v>
      </c>
      <c r="AS42">
        <v>116</v>
      </c>
      <c r="AT42">
        <v>177</v>
      </c>
      <c r="AU42">
        <v>1617</v>
      </c>
      <c r="AV42">
        <v>650</v>
      </c>
      <c r="AW42">
        <v>816</v>
      </c>
      <c r="AX42">
        <v>576</v>
      </c>
      <c r="AY42">
        <v>1768</v>
      </c>
      <c r="AZ42">
        <v>2130</v>
      </c>
      <c r="BA42">
        <v>646</v>
      </c>
      <c r="BB42">
        <v>70</v>
      </c>
      <c r="BC42" s="3">
        <f t="shared" si="24"/>
        <v>5656.7618869470225</v>
      </c>
      <c r="BD42" s="3">
        <f t="shared" si="0"/>
        <v>25626.706325195915</v>
      </c>
      <c r="BE42" s="3">
        <f t="shared" si="1"/>
        <v>9359.6722688409754</v>
      </c>
      <c r="BF42" s="3">
        <f t="shared" si="2"/>
        <v>1808.0644250736575</v>
      </c>
      <c r="BG42" s="3">
        <f t="shared" si="3"/>
        <v>3661.9728878933524</v>
      </c>
      <c r="BH42" s="3">
        <f t="shared" si="4"/>
        <v>4051.7685123906172</v>
      </c>
      <c r="BI42" s="3">
        <f t="shared" si="5"/>
        <v>3725.2686561237711</v>
      </c>
      <c r="BJ42" s="3">
        <f t="shared" si="6"/>
        <v>3673.2575384023658</v>
      </c>
      <c r="BK42" s="3">
        <f t="shared" si="7"/>
        <v>9288.5827125573906</v>
      </c>
      <c r="BL42" s="3">
        <f t="shared" si="8"/>
        <v>3721.6066560454392</v>
      </c>
      <c r="BM42" s="3">
        <f t="shared" si="9"/>
        <v>1405.7830399807206</v>
      </c>
      <c r="BN42" s="3">
        <f t="shared" si="10"/>
        <v>2121.927689693483</v>
      </c>
      <c r="BO42" s="3">
        <f t="shared" si="11"/>
        <v>17335.532129072824</v>
      </c>
      <c r="BP42" s="3">
        <f t="shared" si="12"/>
        <v>3554.3686133603278</v>
      </c>
      <c r="BQ42" s="3">
        <f t="shared" si="13"/>
        <v>581.30444717947069</v>
      </c>
      <c r="BR42" s="3">
        <f t="shared" si="14"/>
        <v>821.64004924269852</v>
      </c>
      <c r="BS42" s="3">
        <f t="shared" si="15"/>
        <v>9590.3235592496058</v>
      </c>
      <c r="BT42" s="3">
        <f t="shared" si="16"/>
        <v>3263.2045572408756</v>
      </c>
      <c r="BU42" s="3">
        <f t="shared" si="17"/>
        <v>4216.5683231338198</v>
      </c>
      <c r="BV42" s="3">
        <f t="shared" si="18"/>
        <v>1372.0463189497939</v>
      </c>
      <c r="BW42" s="3">
        <f t="shared" si="19"/>
        <v>8079.9642251357727</v>
      </c>
      <c r="BX42" s="3">
        <f t="shared" si="20"/>
        <v>6292.0522518014332</v>
      </c>
      <c r="BY42" s="3">
        <f t="shared" si="21"/>
        <v>4884.5735941161311</v>
      </c>
      <c r="BZ42" s="3">
        <f t="shared" si="22"/>
        <v>2106.2450164738448</v>
      </c>
      <c r="CA42" s="9">
        <f t="shared" si="27"/>
        <v>0.60900161650060469</v>
      </c>
      <c r="CB42" s="9">
        <f t="shared" si="27"/>
        <v>6.8859255406713844</v>
      </c>
      <c r="CC42" s="9">
        <f t="shared" si="27"/>
        <v>6.6579777978893082</v>
      </c>
      <c r="CD42" s="9">
        <f t="shared" si="27"/>
        <v>0.85208578683227243</v>
      </c>
      <c r="CE42" s="9">
        <f t="shared" si="27"/>
        <v>0.21124086994433725</v>
      </c>
      <c r="CF42" s="9">
        <f t="shared" si="27"/>
        <v>1.1399404375676285</v>
      </c>
      <c r="CG42" s="9">
        <f t="shared" si="27"/>
        <v>6.4084640573438438</v>
      </c>
      <c r="CH42" s="9">
        <f t="shared" si="27"/>
        <v>4.4706408138064697</v>
      </c>
      <c r="CI42" s="9">
        <f>AVERAGE(CF42:CH42)/AVERAGE(CA42:CD42)</f>
        <v>1.0680042407633579</v>
      </c>
      <c r="CJ42" t="s">
        <v>476</v>
      </c>
    </row>
    <row r="43" spans="1:88" x14ac:dyDescent="0.25">
      <c r="A43">
        <v>21332</v>
      </c>
      <c r="B43" t="s">
        <v>279</v>
      </c>
      <c r="C43">
        <v>9920.8381960000006</v>
      </c>
      <c r="D43">
        <v>-1.183785187</v>
      </c>
      <c r="E43">
        <v>0.59913791400000005</v>
      </c>
      <c r="F43">
        <v>-1.9758141819999999</v>
      </c>
      <c r="G43">
        <v>4.8175826999999997E-2</v>
      </c>
      <c r="H43" s="10">
        <f>G43/(43/81)</f>
        <v>9.0749813651162775E-2</v>
      </c>
      <c r="I43" s="5" t="s">
        <v>280</v>
      </c>
      <c r="J43" t="s">
        <v>281</v>
      </c>
      <c r="K43">
        <v>1372</v>
      </c>
      <c r="L43">
        <v>372228</v>
      </c>
      <c r="M43">
        <v>723.74300000000005</v>
      </c>
      <c r="N43">
        <v>366657</v>
      </c>
      <c r="O43">
        <v>0.85799999999999998</v>
      </c>
      <c r="P43" t="s">
        <v>36</v>
      </c>
      <c r="Q43" t="s">
        <v>282</v>
      </c>
      <c r="R43">
        <v>114868</v>
      </c>
      <c r="S43">
        <v>1.0999999999999999E-2</v>
      </c>
      <c r="T43">
        <v>21</v>
      </c>
      <c r="U43" t="s">
        <v>49</v>
      </c>
      <c r="V43">
        <v>3375.4</v>
      </c>
      <c r="W43">
        <v>4752</v>
      </c>
      <c r="X43">
        <v>1139</v>
      </c>
      <c r="Y43">
        <v>22482</v>
      </c>
      <c r="Z43">
        <v>308488</v>
      </c>
      <c r="AA43">
        <v>19863</v>
      </c>
      <c r="AB43">
        <v>3366</v>
      </c>
      <c r="AC43">
        <v>12138</v>
      </c>
      <c r="AD43">
        <v>372228</v>
      </c>
      <c r="AE43">
        <v>25</v>
      </c>
      <c r="AF43">
        <v>205</v>
      </c>
      <c r="AG43">
        <v>25900</v>
      </c>
      <c r="AH43">
        <v>7557</v>
      </c>
      <c r="AI43">
        <v>101</v>
      </c>
      <c r="AJ43">
        <v>387</v>
      </c>
      <c r="AK43">
        <v>38930</v>
      </c>
      <c r="AL43">
        <v>14641</v>
      </c>
      <c r="AM43">
        <v>42</v>
      </c>
      <c r="AN43">
        <v>20846</v>
      </c>
      <c r="AO43">
        <v>32408</v>
      </c>
      <c r="AP43">
        <v>66934</v>
      </c>
      <c r="AQ43">
        <v>6</v>
      </c>
      <c r="AR43">
        <v>51806</v>
      </c>
      <c r="AS43">
        <v>31128</v>
      </c>
      <c r="AT43">
        <v>22777</v>
      </c>
      <c r="AU43">
        <v>46</v>
      </c>
      <c r="AV43">
        <v>48</v>
      </c>
      <c r="AW43">
        <v>3000</v>
      </c>
      <c r="AX43">
        <v>14686</v>
      </c>
      <c r="AY43">
        <v>19</v>
      </c>
      <c r="AZ43">
        <v>145</v>
      </c>
      <c r="BA43">
        <v>4004</v>
      </c>
      <c r="BB43">
        <v>872</v>
      </c>
      <c r="BC43" s="3">
        <f t="shared" si="24"/>
        <v>281.71124934995129</v>
      </c>
      <c r="BD43" s="3">
        <f t="shared" si="0"/>
        <v>589.81416825700705</v>
      </c>
      <c r="BE43" s="3">
        <f t="shared" si="1"/>
        <v>82091.26710564892</v>
      </c>
      <c r="BF43" s="3">
        <f t="shared" si="2"/>
        <v>57652.079579247395</v>
      </c>
      <c r="BG43" s="3">
        <f t="shared" si="3"/>
        <v>1515.81664621815</v>
      </c>
      <c r="BH43" s="3">
        <f t="shared" si="4"/>
        <v>2845.7974851091994</v>
      </c>
      <c r="BI43" s="3">
        <f t="shared" si="5"/>
        <v>140527.81858807986</v>
      </c>
      <c r="BJ43" s="3">
        <f t="shared" si="6"/>
        <v>55046.226837000046</v>
      </c>
      <c r="BK43" s="3">
        <f t="shared" si="7"/>
        <v>163.09384361513813</v>
      </c>
      <c r="BL43" s="3">
        <f t="shared" si="8"/>
        <v>71568.830582955008</v>
      </c>
      <c r="BM43" s="3">
        <f t="shared" si="9"/>
        <v>116220.96112167143</v>
      </c>
      <c r="BN43" s="3">
        <f t="shared" si="10"/>
        <v>206138.03770964238</v>
      </c>
      <c r="BO43" s="3">
        <f t="shared" si="11"/>
        <v>29.291239868892411</v>
      </c>
      <c r="BP43" s="3">
        <f t="shared" si="12"/>
        <v>96508.186783933503</v>
      </c>
      <c r="BQ43" s="3">
        <f t="shared" si="13"/>
        <v>155990.0416534704</v>
      </c>
      <c r="BR43" s="3">
        <f t="shared" si="14"/>
        <v>105731.61243842341</v>
      </c>
      <c r="BS43" s="3">
        <f t="shared" si="15"/>
        <v>272.82305734414462</v>
      </c>
      <c r="BT43" s="3">
        <f t="shared" si="16"/>
        <v>240.97510576548001</v>
      </c>
      <c r="BU43" s="3">
        <f t="shared" si="17"/>
        <v>15502.089423286103</v>
      </c>
      <c r="BV43" s="3">
        <f t="shared" si="18"/>
        <v>34982.417083501168</v>
      </c>
      <c r="BW43" s="3">
        <f t="shared" si="19"/>
        <v>86.832194727137818</v>
      </c>
      <c r="BX43" s="3">
        <f t="shared" si="20"/>
        <v>428.33219554516796</v>
      </c>
      <c r="BY43" s="3">
        <f t="shared" si="21"/>
        <v>30275.282772199669</v>
      </c>
      <c r="BZ43" s="3">
        <f t="shared" si="22"/>
        <v>26237.795062359899</v>
      </c>
      <c r="CA43" s="9">
        <f t="shared" si="27"/>
        <v>1.7272954214919445</v>
      </c>
      <c r="CB43" s="9">
        <f t="shared" si="27"/>
        <v>8.2412156724198105E-3</v>
      </c>
      <c r="CC43" s="9">
        <f t="shared" si="27"/>
        <v>0.70633787841169016</v>
      </c>
      <c r="CD43" s="9">
        <f t="shared" si="27"/>
        <v>0.27967705630560896</v>
      </c>
      <c r="CE43" s="9">
        <f t="shared" si="27"/>
        <v>51.749828720223022</v>
      </c>
      <c r="CF43" s="9">
        <f t="shared" si="27"/>
        <v>2.9487627733391031E-2</v>
      </c>
      <c r="CG43" s="9">
        <f t="shared" si="27"/>
        <v>0.90087685789750827</v>
      </c>
      <c r="CH43" s="9">
        <f t="shared" si="27"/>
        <v>0.5206222204268206</v>
      </c>
      <c r="CI43" s="9">
        <f>AVERAGE(CF43:CH43)/AVERAGE(CA43:CD43)</f>
        <v>0.71086249527606371</v>
      </c>
      <c r="CJ43" t="s">
        <v>476</v>
      </c>
    </row>
    <row r="44" spans="1:88" x14ac:dyDescent="0.25">
      <c r="A44">
        <v>1607</v>
      </c>
      <c r="B44" t="s">
        <v>283</v>
      </c>
      <c r="C44">
        <v>9.6172320490000001</v>
      </c>
      <c r="D44">
        <v>1.045246028</v>
      </c>
      <c r="E44">
        <v>0.53118738899999995</v>
      </c>
      <c r="F44">
        <v>1.967753844</v>
      </c>
      <c r="G44">
        <v>4.9096367000000002E-2</v>
      </c>
      <c r="H44" s="10">
        <f>G44/(42/81)</f>
        <v>9.4685850642857158E-2</v>
      </c>
      <c r="I44" s="5" t="s">
        <v>284</v>
      </c>
      <c r="J44" t="s">
        <v>285</v>
      </c>
      <c r="K44">
        <v>293</v>
      </c>
      <c r="L44">
        <v>911701</v>
      </c>
      <c r="M44">
        <v>1772.67</v>
      </c>
      <c r="N44">
        <v>270</v>
      </c>
      <c r="O44">
        <v>2.1000000000000001E-2</v>
      </c>
      <c r="P44" t="s">
        <v>88</v>
      </c>
      <c r="Q44" t="s">
        <v>188</v>
      </c>
      <c r="R44">
        <v>857341</v>
      </c>
      <c r="S44">
        <v>1E-3</v>
      </c>
      <c r="T44">
        <v>21</v>
      </c>
      <c r="U44" t="s">
        <v>90</v>
      </c>
      <c r="V44">
        <v>-1</v>
      </c>
      <c r="W44">
        <v>4468</v>
      </c>
      <c r="X44">
        <v>77</v>
      </c>
      <c r="Y44">
        <v>6518</v>
      </c>
      <c r="Z44">
        <v>899407</v>
      </c>
      <c r="AA44">
        <v>928</v>
      </c>
      <c r="AB44">
        <v>215</v>
      </c>
      <c r="AC44">
        <v>88</v>
      </c>
      <c r="AD44">
        <v>911701</v>
      </c>
      <c r="AE44">
        <v>7</v>
      </c>
      <c r="AF44">
        <v>5</v>
      </c>
      <c r="AG44">
        <v>11</v>
      </c>
      <c r="AH44">
        <v>1</v>
      </c>
      <c r="AI44">
        <v>13</v>
      </c>
      <c r="AJ44">
        <v>8</v>
      </c>
      <c r="AK44">
        <v>78</v>
      </c>
      <c r="AL44">
        <v>16</v>
      </c>
      <c r="AM44">
        <v>7</v>
      </c>
      <c r="AN44">
        <v>0</v>
      </c>
      <c r="AO44">
        <v>7</v>
      </c>
      <c r="AP44">
        <v>24</v>
      </c>
      <c r="AQ44">
        <v>1</v>
      </c>
      <c r="AR44">
        <v>11</v>
      </c>
      <c r="AS44">
        <v>9</v>
      </c>
      <c r="AT44">
        <v>6</v>
      </c>
      <c r="AU44">
        <v>9</v>
      </c>
      <c r="AV44">
        <v>3</v>
      </c>
      <c r="AW44">
        <v>2</v>
      </c>
      <c r="AX44">
        <v>7</v>
      </c>
      <c r="AY44">
        <v>11</v>
      </c>
      <c r="AZ44">
        <v>4</v>
      </c>
      <c r="BA44">
        <v>0</v>
      </c>
      <c r="BB44">
        <v>0</v>
      </c>
      <c r="BC44" s="3">
        <f t="shared" ref="BC44:BR49" si="28">AE44/AE$5*20000000</f>
        <v>78.879149817986359</v>
      </c>
      <c r="BD44" s="3">
        <f t="shared" ref="BD44:BD47" si="29">AF44/AF$5*20000000</f>
        <v>14.385711420902611</v>
      </c>
      <c r="BE44" s="3">
        <f t="shared" ref="BE44:BE47" si="30">AG44/AG$5*20000000</f>
        <v>34.865016917457076</v>
      </c>
      <c r="BF44" s="3">
        <f t="shared" ref="BF44:BF47" si="31">AH44/AH$5*20000000</f>
        <v>7.6289638188761932</v>
      </c>
      <c r="BG44" s="3">
        <f t="shared" ref="BG44:BG47" si="32">AI44/AI$5*20000000</f>
        <v>195.10511287956388</v>
      </c>
      <c r="BH44" s="3">
        <f t="shared" ref="BH44:BH47" si="33">AJ44/AJ$5*20000000</f>
        <v>58.827854989337446</v>
      </c>
      <c r="BI44" s="3">
        <f t="shared" ref="BI44:BI47" si="34">AK44/AK$5*20000000</f>
        <v>281.56100307912226</v>
      </c>
      <c r="BJ44" s="3">
        <f t="shared" ref="BJ44:BJ47" si="35">AL44/AL$5*20000000</f>
        <v>60.155701754798216</v>
      </c>
      <c r="BK44" s="3">
        <f t="shared" ref="BK44:BK47" si="36">AM44/AM$5*20000000</f>
        <v>27.182307269189689</v>
      </c>
      <c r="BL44" s="3">
        <f t="shared" ref="BL44:BL47" si="37">AN44/AN$5*20000000</f>
        <v>0</v>
      </c>
      <c r="BM44" s="3">
        <f t="shared" ref="BM44:BM47" si="38">AO44/AO$5*20000000</f>
        <v>25.103268571084296</v>
      </c>
      <c r="BN44" s="3">
        <f t="shared" ref="BN44:BN47" si="39">AP44/AP$5*20000000</f>
        <v>73.913301237508847</v>
      </c>
      <c r="BO44" s="3">
        <f t="shared" ref="BO44:BO47" si="40">AQ44/AQ$5*20000000</f>
        <v>4.8818733114820692</v>
      </c>
      <c r="BP44" s="3">
        <f t="shared" ref="BP44:BP47" si="41">AR44/AR$5*20000000</f>
        <v>20.491642949142349</v>
      </c>
      <c r="BQ44" s="3">
        <f t="shared" ref="BQ44:BQ47" si="42">AS44/AS$5*20000000</f>
        <v>45.101207108752035</v>
      </c>
      <c r="BR44" s="3">
        <f t="shared" ref="BR44:BR47" si="43">AT44/AT$5*20000000</f>
        <v>27.852205059074528</v>
      </c>
      <c r="BS44" s="3">
        <f t="shared" ref="BS44:BZ49" si="44">AU44/AU$5*20000000</f>
        <v>53.378424262984822</v>
      </c>
      <c r="BT44" s="3">
        <f t="shared" ref="BT44:BT47" si="45">AV44/AV$5*20000000</f>
        <v>15.060944110342501</v>
      </c>
      <c r="BU44" s="3">
        <f t="shared" ref="BU44:BU47" si="46">AW44/AW$5*20000000</f>
        <v>10.334726282190735</v>
      </c>
      <c r="BV44" s="3">
        <f t="shared" ref="BV44:BV47" si="47">AX44/AX$5*20000000</f>
        <v>16.674174015014856</v>
      </c>
      <c r="BW44" s="3">
        <f t="shared" ref="BW44:BW47" si="48">AY44/AY$5*20000000</f>
        <v>50.271270631500848</v>
      </c>
      <c r="BX44" s="3">
        <f t="shared" ref="BX44:BX47" si="49">AZ44/AZ$5*20000000</f>
        <v>11.816060566763253</v>
      </c>
      <c r="BY44" s="3">
        <f t="shared" ref="BY44:BY47" si="50">BA44/BA$5*20000000</f>
        <v>0</v>
      </c>
      <c r="BZ44" s="3">
        <f t="shared" ref="BZ44:BZ47" si="51">BB44/BB$5*20000000</f>
        <v>0</v>
      </c>
      <c r="CA44" s="9">
        <f t="shared" ref="CA44:CA47" si="52">BC44/BK44</f>
        <v>2.9018563081064666</v>
      </c>
      <c r="CB44" s="9"/>
      <c r="CC44" s="9">
        <f t="shared" ref="CC44:CC47" si="53">BE44/BM44</f>
        <v>1.3888636381645156</v>
      </c>
      <c r="CD44" s="9">
        <f t="shared" ref="CD44:CD47" si="54">BF44/BN44</f>
        <v>0.10321503289863498</v>
      </c>
      <c r="CE44" s="9">
        <f t="shared" ref="CE44:CE47" si="55">BG44/BO44</f>
        <v>39.965214259182133</v>
      </c>
      <c r="CF44" s="9">
        <f t="shared" ref="CF44:CF47" si="56">BH44/BP44</f>
        <v>2.8708217850242996</v>
      </c>
      <c r="CG44" s="9">
        <f t="shared" ref="CG44:CG47" si="57">BI44/BQ44</f>
        <v>6.2428706708491717</v>
      </c>
      <c r="CH44" s="9">
        <f t="shared" ref="CH44:CH47" si="58">BJ44/BR44</f>
        <v>2.159818284663924</v>
      </c>
      <c r="CI44" s="9">
        <f t="shared" ref="CI44:CI47" si="59">AVERAGE(CE44:CH44)/AVERAGE(CA44:CD44)</f>
        <v>8.7459290890672463</v>
      </c>
    </row>
    <row r="45" spans="1:88" x14ac:dyDescent="0.25">
      <c r="A45">
        <v>30059</v>
      </c>
      <c r="B45" t="s">
        <v>286</v>
      </c>
      <c r="C45">
        <v>2.017783208</v>
      </c>
      <c r="D45">
        <v>1.211632619</v>
      </c>
      <c r="E45">
        <v>0.62542439400000005</v>
      </c>
      <c r="F45">
        <v>1.937296707</v>
      </c>
      <c r="G45">
        <v>5.2709085000000003E-2</v>
      </c>
      <c r="H45" s="10">
        <f>G45/(41/81)</f>
        <v>0.10413258256097561</v>
      </c>
      <c r="I45" s="5" t="s">
        <v>287</v>
      </c>
      <c r="J45" t="s">
        <v>288</v>
      </c>
      <c r="K45">
        <v>86</v>
      </c>
      <c r="L45">
        <v>273</v>
      </c>
      <c r="M45">
        <v>0.53100000000000003</v>
      </c>
      <c r="N45">
        <v>270</v>
      </c>
      <c r="O45">
        <v>0.94099999999999995</v>
      </c>
      <c r="P45" t="s">
        <v>36</v>
      </c>
      <c r="Q45" t="s">
        <v>289</v>
      </c>
      <c r="R45">
        <v>110</v>
      </c>
      <c r="S45">
        <v>0.13600000000000001</v>
      </c>
      <c r="T45">
        <v>24</v>
      </c>
      <c r="U45" t="s">
        <v>43</v>
      </c>
      <c r="V45">
        <v>-1</v>
      </c>
      <c r="W45">
        <v>2</v>
      </c>
      <c r="X45">
        <v>6</v>
      </c>
      <c r="Y45">
        <v>0</v>
      </c>
      <c r="Z45">
        <v>20</v>
      </c>
      <c r="AA45">
        <v>8</v>
      </c>
      <c r="AB45">
        <v>12</v>
      </c>
      <c r="AC45">
        <v>225</v>
      </c>
      <c r="AD45">
        <v>273</v>
      </c>
      <c r="AE45">
        <v>3</v>
      </c>
      <c r="AF45">
        <v>6</v>
      </c>
      <c r="AG45">
        <v>15</v>
      </c>
      <c r="AH45">
        <v>0</v>
      </c>
      <c r="AI45">
        <v>0</v>
      </c>
      <c r="AJ45">
        <v>5</v>
      </c>
      <c r="AK45">
        <v>5</v>
      </c>
      <c r="AL45">
        <v>0</v>
      </c>
      <c r="AM45">
        <v>5</v>
      </c>
      <c r="AN45">
        <v>0</v>
      </c>
      <c r="AO45">
        <v>2</v>
      </c>
      <c r="AP45">
        <v>0</v>
      </c>
      <c r="AQ45">
        <v>0</v>
      </c>
      <c r="AR45">
        <v>3</v>
      </c>
      <c r="AS45">
        <v>0</v>
      </c>
      <c r="AT45">
        <v>0</v>
      </c>
      <c r="AU45">
        <v>4</v>
      </c>
      <c r="AV45">
        <v>4</v>
      </c>
      <c r="AW45">
        <v>0</v>
      </c>
      <c r="AX45">
        <v>2</v>
      </c>
      <c r="AY45">
        <v>4</v>
      </c>
      <c r="AZ45">
        <v>0</v>
      </c>
      <c r="BA45">
        <v>2</v>
      </c>
      <c r="BB45">
        <v>0</v>
      </c>
      <c r="BC45" s="3">
        <f t="shared" si="28"/>
        <v>33.805349921994157</v>
      </c>
      <c r="BD45" s="3">
        <f t="shared" si="29"/>
        <v>17.262853705083135</v>
      </c>
      <c r="BE45" s="3">
        <f t="shared" si="30"/>
        <v>47.543204887441469</v>
      </c>
      <c r="BF45" s="3">
        <f t="shared" si="31"/>
        <v>0</v>
      </c>
      <c r="BG45" s="3">
        <f t="shared" si="32"/>
        <v>0</v>
      </c>
      <c r="BH45" s="3">
        <f t="shared" si="33"/>
        <v>36.767409368335905</v>
      </c>
      <c r="BI45" s="3">
        <f t="shared" si="34"/>
        <v>18.048782248661684</v>
      </c>
      <c r="BJ45" s="3">
        <f t="shared" si="35"/>
        <v>0</v>
      </c>
      <c r="BK45" s="3">
        <f t="shared" si="36"/>
        <v>19.415933763706921</v>
      </c>
      <c r="BL45" s="3">
        <f t="shared" si="37"/>
        <v>0</v>
      </c>
      <c r="BM45" s="3">
        <f t="shared" si="38"/>
        <v>7.1723624488812279</v>
      </c>
      <c r="BN45" s="3">
        <f t="shared" si="39"/>
        <v>0</v>
      </c>
      <c r="BO45" s="3">
        <f t="shared" si="40"/>
        <v>0</v>
      </c>
      <c r="BP45" s="3">
        <f t="shared" si="41"/>
        <v>5.5886298952206408</v>
      </c>
      <c r="BQ45" s="3">
        <f t="shared" si="42"/>
        <v>0</v>
      </c>
      <c r="BR45" s="3">
        <f t="shared" si="43"/>
        <v>0</v>
      </c>
      <c r="BS45" s="3">
        <f t="shared" si="44"/>
        <v>23.723744116882141</v>
      </c>
      <c r="BT45" s="3">
        <f t="shared" si="45"/>
        <v>20.081258813790004</v>
      </c>
      <c r="BU45" s="3">
        <f t="shared" si="46"/>
        <v>0</v>
      </c>
      <c r="BV45" s="3">
        <f t="shared" si="47"/>
        <v>4.7640497185756736</v>
      </c>
      <c r="BW45" s="3">
        <f t="shared" si="48"/>
        <v>18.280462047818489</v>
      </c>
      <c r="BX45" s="3">
        <f t="shared" si="49"/>
        <v>0</v>
      </c>
      <c r="BY45" s="3">
        <f t="shared" si="50"/>
        <v>15.122518867232602</v>
      </c>
      <c r="BZ45" s="3">
        <f t="shared" si="51"/>
        <v>0</v>
      </c>
      <c r="CA45" s="9">
        <f t="shared" si="52"/>
        <v>1.74111378486388</v>
      </c>
      <c r="CB45" s="9"/>
      <c r="CC45" s="9">
        <f t="shared" si="53"/>
        <v>6.628667363967006</v>
      </c>
      <c r="CD45" s="9"/>
      <c r="CE45" s="9">
        <f>BG45/1</f>
        <v>0</v>
      </c>
      <c r="CF45" s="9">
        <f>BH45/1</f>
        <v>36.767409368335905</v>
      </c>
      <c r="CG45" s="9">
        <f>BI45/1</f>
        <v>18.048782248661684</v>
      </c>
      <c r="CH45" s="9">
        <f>BJ45/1</f>
        <v>0</v>
      </c>
      <c r="CI45" s="9">
        <f t="shared" si="59"/>
        <v>3.2746490405340207</v>
      </c>
      <c r="CJ45" t="s">
        <v>470</v>
      </c>
    </row>
    <row r="46" spans="1:88" x14ac:dyDescent="0.25">
      <c r="A46">
        <v>38417</v>
      </c>
      <c r="B46" t="s">
        <v>290</v>
      </c>
      <c r="C46">
        <v>23.061620649999998</v>
      </c>
      <c r="D46">
        <v>-0.73725921400000005</v>
      </c>
      <c r="E46">
        <v>0.38687371599999998</v>
      </c>
      <c r="F46">
        <v>-1.905684422</v>
      </c>
      <c r="G46">
        <v>5.6691162000000003E-2</v>
      </c>
      <c r="H46" s="10">
        <f>G46/(39/81)</f>
        <v>0.11774318261538463</v>
      </c>
      <c r="I46" s="5" t="s">
        <v>291</v>
      </c>
      <c r="J46" t="s">
        <v>292</v>
      </c>
      <c r="K46">
        <v>81</v>
      </c>
      <c r="L46">
        <v>1527</v>
      </c>
      <c r="M46">
        <v>2.9689999999999999</v>
      </c>
      <c r="N46">
        <v>19</v>
      </c>
      <c r="O46">
        <v>0.83199999999999996</v>
      </c>
      <c r="P46" t="s">
        <v>36</v>
      </c>
      <c r="Q46" t="s">
        <v>192</v>
      </c>
      <c r="R46">
        <v>857</v>
      </c>
      <c r="S46">
        <v>4.7E-2</v>
      </c>
      <c r="T46">
        <v>21</v>
      </c>
      <c r="U46" t="s">
        <v>43</v>
      </c>
      <c r="V46">
        <v>-1</v>
      </c>
      <c r="W46">
        <v>24</v>
      </c>
      <c r="X46">
        <v>0</v>
      </c>
      <c r="Y46">
        <v>66</v>
      </c>
      <c r="Z46">
        <v>1193</v>
      </c>
      <c r="AA46">
        <v>241</v>
      </c>
      <c r="AB46">
        <v>1</v>
      </c>
      <c r="AC46">
        <v>2</v>
      </c>
      <c r="AD46">
        <v>1527</v>
      </c>
      <c r="AE46">
        <v>9</v>
      </c>
      <c r="AF46">
        <v>17</v>
      </c>
      <c r="AG46">
        <v>145</v>
      </c>
      <c r="AH46">
        <v>16</v>
      </c>
      <c r="AI46">
        <v>1</v>
      </c>
      <c r="AJ46">
        <v>7</v>
      </c>
      <c r="AK46">
        <v>28</v>
      </c>
      <c r="AL46">
        <v>27</v>
      </c>
      <c r="AM46">
        <v>10</v>
      </c>
      <c r="AN46">
        <v>35</v>
      </c>
      <c r="AO46">
        <v>71</v>
      </c>
      <c r="AP46">
        <v>69</v>
      </c>
      <c r="AQ46">
        <v>27</v>
      </c>
      <c r="AR46">
        <v>136</v>
      </c>
      <c r="AS46">
        <v>19</v>
      </c>
      <c r="AT46">
        <v>22</v>
      </c>
      <c r="AU46">
        <v>1</v>
      </c>
      <c r="AV46">
        <v>19</v>
      </c>
      <c r="AW46">
        <v>52</v>
      </c>
      <c r="AX46">
        <v>25</v>
      </c>
      <c r="AY46">
        <v>3</v>
      </c>
      <c r="AZ46">
        <v>22</v>
      </c>
      <c r="BA46">
        <v>22</v>
      </c>
      <c r="BB46">
        <v>3</v>
      </c>
      <c r="BC46" s="3">
        <f t="shared" si="28"/>
        <v>101.41604976598246</v>
      </c>
      <c r="BD46" s="3">
        <f t="shared" si="29"/>
        <v>48.911418831068879</v>
      </c>
      <c r="BE46" s="3">
        <f t="shared" si="30"/>
        <v>459.58431391193415</v>
      </c>
      <c r="BF46" s="3">
        <f t="shared" si="31"/>
        <v>122.06342110201909</v>
      </c>
      <c r="BG46" s="3">
        <f t="shared" si="32"/>
        <v>15.008085606120298</v>
      </c>
      <c r="BH46" s="3">
        <f t="shared" si="33"/>
        <v>51.474373115670268</v>
      </c>
      <c r="BI46" s="3">
        <f t="shared" si="34"/>
        <v>101.07318059250542</v>
      </c>
      <c r="BJ46" s="3">
        <f t="shared" si="35"/>
        <v>101.51274671122199</v>
      </c>
      <c r="BK46" s="3">
        <f t="shared" si="36"/>
        <v>38.831867527413841</v>
      </c>
      <c r="BL46" s="3">
        <f t="shared" si="37"/>
        <v>120.16257653283246</v>
      </c>
      <c r="BM46" s="3">
        <f t="shared" si="38"/>
        <v>254.61886693528359</v>
      </c>
      <c r="BN46" s="3">
        <f t="shared" si="39"/>
        <v>212.50074105783793</v>
      </c>
      <c r="BO46" s="3">
        <f t="shared" si="40"/>
        <v>131.81057941001586</v>
      </c>
      <c r="BP46" s="3">
        <f t="shared" si="41"/>
        <v>253.35122191666903</v>
      </c>
      <c r="BQ46" s="3">
        <f t="shared" si="42"/>
        <v>95.213659451809875</v>
      </c>
      <c r="BR46" s="3">
        <f t="shared" si="43"/>
        <v>102.12475188327326</v>
      </c>
      <c r="BS46" s="3">
        <f t="shared" si="44"/>
        <v>5.9309360292205353</v>
      </c>
      <c r="BT46" s="3">
        <f t="shared" si="45"/>
        <v>95.385979365502507</v>
      </c>
      <c r="BU46" s="3">
        <f t="shared" si="46"/>
        <v>268.70288333695908</v>
      </c>
      <c r="BV46" s="3">
        <f t="shared" si="47"/>
        <v>59.550621482195908</v>
      </c>
      <c r="BW46" s="3">
        <f t="shared" si="48"/>
        <v>13.710346535863867</v>
      </c>
      <c r="BX46" s="3">
        <f t="shared" si="49"/>
        <v>64.988333117197882</v>
      </c>
      <c r="BY46" s="3">
        <f t="shared" si="50"/>
        <v>166.3477075395586</v>
      </c>
      <c r="BZ46" s="3">
        <f t="shared" si="51"/>
        <v>90.267643563164796</v>
      </c>
      <c r="CA46" s="9">
        <f t="shared" si="52"/>
        <v>2.61167067729582</v>
      </c>
      <c r="CB46" s="9">
        <f t="shared" ref="CB46:CB47" si="60">BD46/BL46</f>
        <v>0.40704369232382959</v>
      </c>
      <c r="CC46" s="9">
        <f t="shared" si="53"/>
        <v>1.8049892352586212</v>
      </c>
      <c r="CD46" s="9">
        <f t="shared" si="54"/>
        <v>0.57441409613153382</v>
      </c>
      <c r="CE46" s="9">
        <f t="shared" si="55"/>
        <v>0.11386100928541919</v>
      </c>
      <c r="CF46" s="9">
        <f t="shared" si="56"/>
        <v>0.20317396824160947</v>
      </c>
      <c r="CG46" s="9">
        <f t="shared" si="57"/>
        <v>1.0615407618447983</v>
      </c>
      <c r="CH46" s="9">
        <f t="shared" si="58"/>
        <v>0.99400727873737427</v>
      </c>
      <c r="CI46" s="9">
        <f t="shared" si="59"/>
        <v>0.43952043092083215</v>
      </c>
    </row>
    <row r="47" spans="1:88" x14ac:dyDescent="0.25">
      <c r="A47">
        <v>14791</v>
      </c>
      <c r="B47" t="s">
        <v>132</v>
      </c>
      <c r="C47">
        <v>186.1300947</v>
      </c>
      <c r="D47">
        <v>0.846790441</v>
      </c>
      <c r="E47">
        <v>0.44735856899999998</v>
      </c>
      <c r="F47">
        <v>1.8928673789999999</v>
      </c>
      <c r="G47">
        <v>5.8375508E-2</v>
      </c>
      <c r="H47" s="10">
        <f>G47/(38/81)</f>
        <v>0.12443200389473685</v>
      </c>
      <c r="I47" s="5" t="s">
        <v>133</v>
      </c>
      <c r="J47" t="s">
        <v>134</v>
      </c>
      <c r="K47">
        <v>214</v>
      </c>
      <c r="L47">
        <v>48131</v>
      </c>
      <c r="M47">
        <v>93.584000000000003</v>
      </c>
      <c r="N47">
        <v>12089</v>
      </c>
      <c r="O47">
        <v>5.8999999999999997E-2</v>
      </c>
      <c r="P47" t="s">
        <v>88</v>
      </c>
      <c r="Q47" t="s">
        <v>135</v>
      </c>
      <c r="R47">
        <v>13421</v>
      </c>
      <c r="S47">
        <v>1.4999999999999999E-2</v>
      </c>
      <c r="T47">
        <v>21</v>
      </c>
      <c r="U47" t="s">
        <v>43</v>
      </c>
      <c r="V47">
        <v>-1</v>
      </c>
      <c r="W47">
        <v>491</v>
      </c>
      <c r="X47">
        <v>19</v>
      </c>
      <c r="Y47">
        <v>18948</v>
      </c>
      <c r="Z47">
        <v>21220</v>
      </c>
      <c r="AA47">
        <v>5761</v>
      </c>
      <c r="AB47">
        <v>1548</v>
      </c>
      <c r="AC47">
        <v>144</v>
      </c>
      <c r="AD47">
        <v>48131</v>
      </c>
      <c r="AE47">
        <v>134</v>
      </c>
      <c r="AF47">
        <v>207</v>
      </c>
      <c r="AG47">
        <v>100</v>
      </c>
      <c r="AH47">
        <v>34</v>
      </c>
      <c r="AI47">
        <v>123</v>
      </c>
      <c r="AJ47">
        <v>363</v>
      </c>
      <c r="AK47">
        <v>1120</v>
      </c>
      <c r="AL47">
        <v>230</v>
      </c>
      <c r="AM47">
        <v>319</v>
      </c>
      <c r="AN47">
        <v>52</v>
      </c>
      <c r="AO47">
        <v>80</v>
      </c>
      <c r="AP47">
        <v>383</v>
      </c>
      <c r="AQ47">
        <v>50</v>
      </c>
      <c r="AR47">
        <v>437</v>
      </c>
      <c r="AS47">
        <v>165</v>
      </c>
      <c r="AT47">
        <v>176</v>
      </c>
      <c r="AU47">
        <v>107</v>
      </c>
      <c r="AV47">
        <v>56</v>
      </c>
      <c r="AW47">
        <v>34</v>
      </c>
      <c r="AX47">
        <v>435</v>
      </c>
      <c r="AY47">
        <v>318</v>
      </c>
      <c r="AZ47">
        <v>199</v>
      </c>
      <c r="BA47">
        <v>26</v>
      </c>
      <c r="BB47">
        <v>11</v>
      </c>
      <c r="BC47" s="3">
        <f t="shared" si="28"/>
        <v>1509.9722965157389</v>
      </c>
      <c r="BD47" s="3">
        <f t="shared" si="29"/>
        <v>595.56845282536813</v>
      </c>
      <c r="BE47" s="3">
        <f t="shared" si="30"/>
        <v>316.9546992496098</v>
      </c>
      <c r="BF47" s="3">
        <f t="shared" si="31"/>
        <v>259.38476984179056</v>
      </c>
      <c r="BG47" s="3">
        <f t="shared" si="32"/>
        <v>1845.9945295527964</v>
      </c>
      <c r="BH47" s="3">
        <f t="shared" si="33"/>
        <v>2669.3139201411868</v>
      </c>
      <c r="BI47" s="3">
        <f t="shared" si="34"/>
        <v>4042.9272237002169</v>
      </c>
      <c r="BJ47" s="3">
        <f t="shared" si="35"/>
        <v>864.73821272522434</v>
      </c>
      <c r="BK47" s="3">
        <f t="shared" si="36"/>
        <v>1238.7365741245014</v>
      </c>
      <c r="BL47" s="3">
        <f t="shared" si="37"/>
        <v>178.52725656306535</v>
      </c>
      <c r="BM47" s="3">
        <f t="shared" si="38"/>
        <v>286.89449795524911</v>
      </c>
      <c r="BN47" s="3">
        <f t="shared" si="39"/>
        <v>1179.5330989152453</v>
      </c>
      <c r="BO47" s="3">
        <f t="shared" si="40"/>
        <v>244.09366557410343</v>
      </c>
      <c r="BP47" s="3">
        <f t="shared" si="41"/>
        <v>814.07708807047334</v>
      </c>
      <c r="BQ47" s="3">
        <f t="shared" si="42"/>
        <v>826.85546366045412</v>
      </c>
      <c r="BR47" s="3">
        <f t="shared" si="43"/>
        <v>816.9980150661861</v>
      </c>
      <c r="BS47" s="3">
        <f t="shared" si="44"/>
        <v>634.61015512659731</v>
      </c>
      <c r="BT47" s="3">
        <f t="shared" si="45"/>
        <v>281.13762339305998</v>
      </c>
      <c r="BU47" s="3">
        <f t="shared" si="46"/>
        <v>175.69034679724248</v>
      </c>
      <c r="BV47" s="3">
        <f t="shared" si="47"/>
        <v>1036.1808137902087</v>
      </c>
      <c r="BW47" s="3">
        <f t="shared" si="48"/>
        <v>1453.29673280157</v>
      </c>
      <c r="BX47" s="3">
        <f t="shared" si="49"/>
        <v>587.8490131964719</v>
      </c>
      <c r="BY47" s="3">
        <f t="shared" si="50"/>
        <v>196.59274527402383</v>
      </c>
      <c r="BZ47" s="3">
        <f t="shared" si="51"/>
        <v>330.98135973160419</v>
      </c>
      <c r="CA47" s="9">
        <f t="shared" si="52"/>
        <v>1.2189615839694876</v>
      </c>
      <c r="CB47" s="9">
        <f t="shared" si="60"/>
        <v>3.3360085417264091</v>
      </c>
      <c r="CC47" s="9">
        <f t="shared" si="53"/>
        <v>1.104777893994501</v>
      </c>
      <c r="CD47" s="9">
        <f t="shared" si="54"/>
        <v>0.21990461317307086</v>
      </c>
      <c r="CE47" s="9">
        <f t="shared" si="55"/>
        <v>7.5626482367375418</v>
      </c>
      <c r="CF47" s="9">
        <f t="shared" si="56"/>
        <v>3.2789449049204893</v>
      </c>
      <c r="CG47" s="9">
        <f t="shared" si="57"/>
        <v>4.8895210848608892</v>
      </c>
      <c r="CH47" s="9">
        <f t="shared" si="58"/>
        <v>1.0584336764333151</v>
      </c>
      <c r="CI47" s="9">
        <f t="shared" si="59"/>
        <v>2.8555339832679025</v>
      </c>
    </row>
    <row r="48" spans="1:88" x14ac:dyDescent="0.25">
      <c r="A48">
        <v>39179</v>
      </c>
      <c r="B48" t="s">
        <v>366</v>
      </c>
      <c r="C48">
        <v>6.8916667909999996</v>
      </c>
      <c r="D48">
        <v>0.39924243199999998</v>
      </c>
      <c r="E48">
        <v>0.56731795399999996</v>
      </c>
      <c r="F48">
        <v>0.70373664199999997</v>
      </c>
      <c r="G48">
        <v>0.48159679700000002</v>
      </c>
      <c r="H48" s="10" t="s">
        <v>157</v>
      </c>
      <c r="I48" s="5" t="s">
        <v>367</v>
      </c>
      <c r="J48" t="s">
        <v>436</v>
      </c>
      <c r="K48">
        <v>464</v>
      </c>
      <c r="L48">
        <v>128645</v>
      </c>
      <c r="M48">
        <v>250.13200000000001</v>
      </c>
      <c r="N48">
        <v>128643</v>
      </c>
      <c r="O48">
        <v>2E-3</v>
      </c>
      <c r="P48" t="s">
        <v>88</v>
      </c>
      <c r="Q48" t="s">
        <v>437</v>
      </c>
      <c r="R48">
        <v>109107</v>
      </c>
      <c r="S48">
        <v>3.0000000000000001E-3</v>
      </c>
      <c r="T48">
        <v>22</v>
      </c>
      <c r="U48" t="s">
        <v>43</v>
      </c>
      <c r="V48">
        <v>-1</v>
      </c>
      <c r="W48">
        <v>498</v>
      </c>
      <c r="X48">
        <v>17</v>
      </c>
      <c r="Y48">
        <v>259</v>
      </c>
      <c r="Z48">
        <v>4400</v>
      </c>
      <c r="AA48">
        <v>122593</v>
      </c>
      <c r="AB48">
        <v>832</v>
      </c>
      <c r="AC48">
        <v>46</v>
      </c>
      <c r="AD48">
        <v>128645</v>
      </c>
      <c r="AE48">
        <v>12</v>
      </c>
      <c r="AF48">
        <v>17</v>
      </c>
      <c r="AG48">
        <v>5</v>
      </c>
      <c r="AH48">
        <v>0</v>
      </c>
      <c r="AI48">
        <v>5</v>
      </c>
      <c r="AJ48">
        <v>7</v>
      </c>
      <c r="AK48">
        <v>6</v>
      </c>
      <c r="AL48">
        <v>9</v>
      </c>
      <c r="AM48">
        <v>25</v>
      </c>
      <c r="AN48">
        <v>0</v>
      </c>
      <c r="AO48">
        <v>3</v>
      </c>
      <c r="AP48">
        <v>0</v>
      </c>
      <c r="AQ48">
        <v>0</v>
      </c>
      <c r="AR48">
        <v>41</v>
      </c>
      <c r="AS48">
        <v>0</v>
      </c>
      <c r="AT48">
        <v>10</v>
      </c>
      <c r="AU48">
        <v>4</v>
      </c>
      <c r="AV48">
        <v>4</v>
      </c>
      <c r="AW48">
        <v>3</v>
      </c>
      <c r="AX48">
        <v>1</v>
      </c>
      <c r="AY48">
        <v>7</v>
      </c>
      <c r="AZ48">
        <v>28</v>
      </c>
      <c r="BA48">
        <v>6</v>
      </c>
      <c r="BB48">
        <v>1</v>
      </c>
      <c r="BC48" s="3">
        <f>AE48/AE$5*20000000</f>
        <v>135.22139968797663</v>
      </c>
      <c r="BD48" s="3">
        <f t="shared" si="28"/>
        <v>48.911418831068879</v>
      </c>
      <c r="BE48" s="3">
        <f t="shared" si="28"/>
        <v>15.847734962480487</v>
      </c>
      <c r="BF48" s="3">
        <f t="shared" si="28"/>
        <v>0</v>
      </c>
      <c r="BG48" s="3">
        <f t="shared" si="28"/>
        <v>75.04042803060149</v>
      </c>
      <c r="BH48" s="3">
        <f t="shared" si="28"/>
        <v>51.474373115670268</v>
      </c>
      <c r="BI48" s="3">
        <f t="shared" si="28"/>
        <v>21.658538698394018</v>
      </c>
      <c r="BJ48" s="3">
        <f t="shared" si="28"/>
        <v>33.837582237073995</v>
      </c>
      <c r="BK48" s="3">
        <f t="shared" si="28"/>
        <v>97.0796688185346</v>
      </c>
      <c r="BL48" s="3">
        <f t="shared" si="28"/>
        <v>0</v>
      </c>
      <c r="BM48" s="3">
        <f t="shared" si="28"/>
        <v>10.758543673321842</v>
      </c>
      <c r="BN48" s="3">
        <f t="shared" si="28"/>
        <v>0</v>
      </c>
      <c r="BO48" s="3">
        <f t="shared" si="28"/>
        <v>0</v>
      </c>
      <c r="BP48" s="3">
        <f t="shared" si="28"/>
        <v>76.377941901348763</v>
      </c>
      <c r="BQ48" s="3">
        <f t="shared" si="28"/>
        <v>0</v>
      </c>
      <c r="BR48" s="3">
        <f t="shared" si="28"/>
        <v>46.420341765124213</v>
      </c>
      <c r="BS48" s="3">
        <f t="shared" si="44"/>
        <v>23.723744116882141</v>
      </c>
      <c r="BT48" s="3">
        <f t="shared" si="44"/>
        <v>20.081258813790004</v>
      </c>
      <c r="BU48" s="3">
        <f t="shared" si="44"/>
        <v>15.502089423286103</v>
      </c>
      <c r="BV48" s="3">
        <f t="shared" si="44"/>
        <v>2.3820248592878368</v>
      </c>
      <c r="BW48" s="3">
        <f t="shared" si="44"/>
        <v>31.990808583682355</v>
      </c>
      <c r="BX48" s="3">
        <f t="shared" si="44"/>
        <v>82.712423967342772</v>
      </c>
      <c r="BY48" s="3">
        <f t="shared" si="44"/>
        <v>45.3675566016978</v>
      </c>
      <c r="BZ48" s="3">
        <f t="shared" si="44"/>
        <v>30.089214521054927</v>
      </c>
      <c r="CA48" s="9">
        <f t="shared" ref="CA48" si="61">BC48/BK48</f>
        <v>1.3928910278911042</v>
      </c>
      <c r="CB48" s="9"/>
      <c r="CC48" s="9">
        <f t="shared" ref="CC48" si="62">BE48/BM48</f>
        <v>1.4730371919926677</v>
      </c>
      <c r="CD48" s="9"/>
      <c r="CE48" s="9">
        <f>BG48/1</f>
        <v>75.04042803060149</v>
      </c>
      <c r="CF48" s="9">
        <f t="shared" ref="CF48:CF50" si="63">BH48/BP48</f>
        <v>0.67394291904533865</v>
      </c>
      <c r="CG48" s="9">
        <f>BI48/1</f>
        <v>21.658538698394018</v>
      </c>
      <c r="CH48" s="9">
        <f t="shared" ref="CH48" si="64">BJ48/BR48</f>
        <v>0.7289386710740744</v>
      </c>
      <c r="CI48" s="9">
        <f t="shared" ref="CI48" si="65">AVERAGE(CE48:CH48)/AVERAGE(CA48:CD48)</f>
        <v>17.115196332986571</v>
      </c>
      <c r="CJ48" t="s">
        <v>472</v>
      </c>
    </row>
    <row r="49" spans="1:88" x14ac:dyDescent="0.25">
      <c r="A49">
        <v>23825</v>
      </c>
      <c r="B49" t="s">
        <v>368</v>
      </c>
      <c r="C49">
        <v>1.190264005</v>
      </c>
      <c r="D49">
        <v>0.59204271500000005</v>
      </c>
      <c r="E49">
        <v>0.63723089399999999</v>
      </c>
      <c r="F49">
        <v>0.92908664799999996</v>
      </c>
      <c r="G49">
        <v>0.35284418299999998</v>
      </c>
      <c r="H49" s="10" t="s">
        <v>157</v>
      </c>
      <c r="I49" s="5" t="s">
        <v>369</v>
      </c>
      <c r="J49" t="s">
        <v>438</v>
      </c>
      <c r="K49">
        <v>380</v>
      </c>
      <c r="L49">
        <v>1336</v>
      </c>
      <c r="M49">
        <v>2.5979999999999999</v>
      </c>
      <c r="N49">
        <v>1330</v>
      </c>
      <c r="O49">
        <v>0.96</v>
      </c>
      <c r="P49" t="s">
        <v>36</v>
      </c>
      <c r="Q49" t="s">
        <v>439</v>
      </c>
      <c r="R49">
        <v>411</v>
      </c>
      <c r="S49">
        <v>8.2000000000000003E-2</v>
      </c>
      <c r="T49">
        <v>22</v>
      </c>
      <c r="U49" t="s">
        <v>221</v>
      </c>
      <c r="V49">
        <v>-1</v>
      </c>
      <c r="W49">
        <v>7</v>
      </c>
      <c r="X49">
        <v>37</v>
      </c>
      <c r="Y49">
        <v>395</v>
      </c>
      <c r="Z49">
        <v>389</v>
      </c>
      <c r="AA49">
        <v>454</v>
      </c>
      <c r="AB49">
        <v>27</v>
      </c>
      <c r="AC49">
        <v>27</v>
      </c>
      <c r="AD49">
        <v>1336</v>
      </c>
      <c r="AE49">
        <v>3</v>
      </c>
      <c r="AF49">
        <v>13</v>
      </c>
      <c r="AG49">
        <v>2</v>
      </c>
      <c r="AH49">
        <v>0</v>
      </c>
      <c r="AI49">
        <v>0</v>
      </c>
      <c r="AJ49">
        <v>0</v>
      </c>
      <c r="AK49">
        <v>1</v>
      </c>
      <c r="AL49">
        <v>0</v>
      </c>
      <c r="AM49">
        <v>0</v>
      </c>
      <c r="AN49">
        <v>3</v>
      </c>
      <c r="AO49">
        <v>0</v>
      </c>
      <c r="AP49">
        <v>2</v>
      </c>
      <c r="AQ49">
        <v>1</v>
      </c>
      <c r="AR49">
        <v>1</v>
      </c>
      <c r="AS49">
        <v>0</v>
      </c>
      <c r="AT49">
        <v>0</v>
      </c>
      <c r="AU49">
        <v>3</v>
      </c>
      <c r="AV49">
        <v>0</v>
      </c>
      <c r="AW49">
        <v>1</v>
      </c>
      <c r="AX49">
        <v>0</v>
      </c>
      <c r="AY49">
        <v>3</v>
      </c>
      <c r="AZ49">
        <v>3</v>
      </c>
      <c r="BA49">
        <v>0</v>
      </c>
      <c r="BB49">
        <v>0</v>
      </c>
      <c r="BC49" s="3">
        <f t="shared" si="28"/>
        <v>33.805349921994157</v>
      </c>
      <c r="BD49" s="3">
        <f t="shared" si="28"/>
        <v>37.402849694346791</v>
      </c>
      <c r="BE49" s="3">
        <f t="shared" si="28"/>
        <v>6.3390939849921946</v>
      </c>
      <c r="BF49" s="3">
        <f t="shared" si="28"/>
        <v>0</v>
      </c>
      <c r="BG49" s="3">
        <f t="shared" si="28"/>
        <v>0</v>
      </c>
      <c r="BH49" s="3">
        <f t="shared" si="28"/>
        <v>0</v>
      </c>
      <c r="BI49" s="3">
        <f t="shared" si="28"/>
        <v>3.6097564497323367</v>
      </c>
      <c r="BJ49" s="3">
        <f t="shared" si="28"/>
        <v>0</v>
      </c>
      <c r="BK49" s="3">
        <f t="shared" si="28"/>
        <v>0</v>
      </c>
      <c r="BL49" s="3">
        <f t="shared" si="28"/>
        <v>10.299649417099925</v>
      </c>
      <c r="BM49" s="3">
        <f t="shared" si="28"/>
        <v>0</v>
      </c>
      <c r="BN49" s="3">
        <f t="shared" si="28"/>
        <v>6.1594417697924033</v>
      </c>
      <c r="BO49" s="3">
        <f t="shared" si="28"/>
        <v>4.8818733114820692</v>
      </c>
      <c r="BP49" s="3">
        <f t="shared" si="28"/>
        <v>1.8628766317402137</v>
      </c>
      <c r="BQ49" s="3">
        <f t="shared" si="28"/>
        <v>0</v>
      </c>
      <c r="BR49" s="3">
        <f t="shared" si="28"/>
        <v>0</v>
      </c>
      <c r="BS49" s="3">
        <f t="shared" si="44"/>
        <v>17.792808087661605</v>
      </c>
      <c r="BT49" s="3">
        <f t="shared" si="44"/>
        <v>0</v>
      </c>
      <c r="BU49" s="3">
        <f t="shared" si="44"/>
        <v>5.1673631410953673</v>
      </c>
      <c r="BV49" s="3">
        <f t="shared" si="44"/>
        <v>0</v>
      </c>
      <c r="BW49" s="3">
        <f t="shared" si="44"/>
        <v>13.710346535863867</v>
      </c>
      <c r="BX49" s="3">
        <f t="shared" si="44"/>
        <v>8.8620454250724396</v>
      </c>
      <c r="BY49" s="3">
        <f t="shared" si="44"/>
        <v>0</v>
      </c>
      <c r="BZ49" s="3">
        <f t="shared" si="44"/>
        <v>0</v>
      </c>
      <c r="CA49" s="9"/>
      <c r="CB49" s="9">
        <f t="shared" ref="CB49:CB50" si="66">BD49/BL49</f>
        <v>3.6314682354380876</v>
      </c>
      <c r="CC49" s="9"/>
      <c r="CD49" s="9">
        <f>BF49/BN49</f>
        <v>0</v>
      </c>
      <c r="CE49" s="9">
        <f t="shared" ref="CE49:CE50" si="67">BG49/BO49</f>
        <v>0</v>
      </c>
      <c r="CF49" s="9">
        <f t="shared" si="63"/>
        <v>0</v>
      </c>
      <c r="CG49" s="9">
        <f>BI49/1</f>
        <v>3.6097564497323367</v>
      </c>
      <c r="CH49" s="9">
        <f>BJ49/1</f>
        <v>0</v>
      </c>
      <c r="CI49" s="9">
        <f>AVERAGE(CE49:CH49)/AVERAGE(CA49:CD49)</f>
        <v>0.4970106050365698</v>
      </c>
      <c r="CJ49" t="s">
        <v>472</v>
      </c>
    </row>
    <row r="50" spans="1:88" x14ac:dyDescent="0.25">
      <c r="A50">
        <v>38381</v>
      </c>
      <c r="B50" t="s">
        <v>491</v>
      </c>
      <c r="C50">
        <v>241.33093389999999</v>
      </c>
      <c r="D50">
        <v>1.4686752110000001</v>
      </c>
      <c r="E50">
        <v>0.44328537899999998</v>
      </c>
      <c r="F50">
        <v>3.313159604</v>
      </c>
      <c r="G50">
        <v>9.2248299999999998E-4</v>
      </c>
      <c r="H50">
        <v>8.8242715999999999E-2</v>
      </c>
      <c r="I50" s="5" t="s">
        <v>494</v>
      </c>
      <c r="J50" t="s">
        <v>492</v>
      </c>
      <c r="K50">
        <v>1633</v>
      </c>
      <c r="L50">
        <v>674692</v>
      </c>
      <c r="M50">
        <v>1311.8409999999999</v>
      </c>
      <c r="N50">
        <v>532637</v>
      </c>
      <c r="O50">
        <v>0.49199999999999999</v>
      </c>
      <c r="P50" t="s">
        <v>47</v>
      </c>
      <c r="Q50" t="s">
        <v>493</v>
      </c>
      <c r="R50">
        <v>127496</v>
      </c>
      <c r="S50">
        <v>1.4999999999999999E-2</v>
      </c>
      <c r="T50">
        <v>21</v>
      </c>
      <c r="U50" t="s">
        <v>49</v>
      </c>
      <c r="V50">
        <v>3172.2</v>
      </c>
      <c r="W50">
        <v>5193</v>
      </c>
      <c r="X50">
        <v>905</v>
      </c>
      <c r="Y50">
        <v>14148</v>
      </c>
      <c r="Z50">
        <v>595006</v>
      </c>
      <c r="AA50">
        <v>43631</v>
      </c>
      <c r="AB50">
        <v>8375</v>
      </c>
      <c r="AC50">
        <v>7434</v>
      </c>
      <c r="AD50">
        <v>674692</v>
      </c>
      <c r="AE50">
        <v>230</v>
      </c>
      <c r="AF50">
        <v>1734</v>
      </c>
      <c r="AG50">
        <v>515</v>
      </c>
      <c r="AH50">
        <v>819</v>
      </c>
      <c r="AI50">
        <v>385</v>
      </c>
      <c r="AJ50">
        <v>171</v>
      </c>
      <c r="AK50">
        <v>40</v>
      </c>
      <c r="AL50">
        <v>10</v>
      </c>
      <c r="AM50">
        <v>208</v>
      </c>
      <c r="AN50">
        <v>272</v>
      </c>
      <c r="AO50">
        <v>323</v>
      </c>
      <c r="AP50">
        <v>67</v>
      </c>
      <c r="AQ50">
        <v>417</v>
      </c>
      <c r="AR50">
        <v>32</v>
      </c>
      <c r="AS50">
        <v>26</v>
      </c>
      <c r="AT50">
        <v>70</v>
      </c>
      <c r="AU50">
        <v>107</v>
      </c>
      <c r="AV50">
        <v>251</v>
      </c>
      <c r="AW50">
        <v>22</v>
      </c>
      <c r="AX50">
        <v>0</v>
      </c>
      <c r="AY50">
        <v>481</v>
      </c>
      <c r="AZ50">
        <v>233</v>
      </c>
      <c r="BA50">
        <v>150</v>
      </c>
      <c r="BB50">
        <v>216</v>
      </c>
      <c r="BC50" s="3">
        <f>AE50/AE$5*20000000</f>
        <v>2591.7434940195521</v>
      </c>
      <c r="BD50" s="3">
        <f t="shared" ref="BD50" si="68">AF50/AF$5*20000000</f>
        <v>4988.9647207690259</v>
      </c>
      <c r="BE50" s="3">
        <f t="shared" ref="BE50" si="69">AG50/AG$5*20000000</f>
        <v>1632.3167011354903</v>
      </c>
      <c r="BF50" s="3">
        <f t="shared" ref="BF50" si="70">AH50/AH$5*20000000</f>
        <v>6248.1213676596017</v>
      </c>
      <c r="BG50" s="3">
        <f t="shared" ref="BG50" si="71">AI50/AI$5*20000000</f>
        <v>5778.1129583563143</v>
      </c>
      <c r="BH50" s="3">
        <f t="shared" ref="BH50" si="72">AJ50/AJ$5*20000000</f>
        <v>1257.4454003970882</v>
      </c>
      <c r="BI50" s="3">
        <f t="shared" ref="BI50" si="73">AK50/AK$5*20000000</f>
        <v>144.39025798929347</v>
      </c>
      <c r="BJ50" s="3">
        <f t="shared" ref="BJ50" si="74">AL50/AL$5*20000000</f>
        <v>37.597313596748883</v>
      </c>
      <c r="BK50" s="3">
        <f t="shared" ref="BK50" si="75">AM50/AM$5*20000000</f>
        <v>807.70284457020796</v>
      </c>
      <c r="BL50" s="3">
        <f t="shared" ref="BL50" si="76">AN50/AN$5*20000000</f>
        <v>933.83488048372635</v>
      </c>
      <c r="BM50" s="3">
        <f t="shared" ref="BM50" si="77">AO50/AO$5*20000000</f>
        <v>1158.3365354943182</v>
      </c>
      <c r="BN50" s="3">
        <f t="shared" ref="BN50" si="78">AP50/AP$5*20000000</f>
        <v>206.34129928804552</v>
      </c>
      <c r="BO50" s="3">
        <f t="shared" ref="BO50" si="79">AQ50/AQ$5*20000000</f>
        <v>2035.7411708880227</v>
      </c>
      <c r="BP50" s="3">
        <f t="shared" ref="BP50" si="80">AR50/AR$5*20000000</f>
        <v>59.612052215686838</v>
      </c>
      <c r="BQ50" s="3">
        <f t="shared" ref="BQ50" si="81">AS50/AS$5*20000000</f>
        <v>130.29237609195033</v>
      </c>
      <c r="BR50" s="3">
        <f t="shared" ref="BR50" si="82">AT50/AT$5*20000000</f>
        <v>324.94239235586946</v>
      </c>
      <c r="BS50" s="3">
        <f t="shared" ref="BS50" si="83">AU50/AU$5*20000000</f>
        <v>634.61015512659731</v>
      </c>
      <c r="BT50" s="3">
        <f t="shared" ref="BT50" si="84">AV50/AV$5*20000000</f>
        <v>1260.0989905653225</v>
      </c>
      <c r="BU50" s="3">
        <f t="shared" ref="BU50" si="85">AW50/AW$5*20000000</f>
        <v>113.68198910409808</v>
      </c>
      <c r="BV50" s="3">
        <f t="shared" ref="BV50" si="86">AX50/AX$5*20000000</f>
        <v>0</v>
      </c>
      <c r="BW50" s="3">
        <f t="shared" ref="BW50" si="87">AY50/AY$5*20000000</f>
        <v>2198.2255612501735</v>
      </c>
      <c r="BX50" s="3">
        <f t="shared" ref="BX50" si="88">AZ50/AZ$5*20000000</f>
        <v>688.28552801395949</v>
      </c>
      <c r="BY50" s="3">
        <f t="shared" ref="BY50" si="89">BA50/BA$5*20000000</f>
        <v>1134.1889150424452</v>
      </c>
      <c r="BZ50" s="3">
        <f t="shared" ref="BZ50" si="90">BB50/BB$5*20000000</f>
        <v>6499.2703365478646</v>
      </c>
      <c r="CA50" s="9">
        <f t="shared" ref="CA50" si="91">BC50/BK50</f>
        <v>3.2087834176177275</v>
      </c>
      <c r="CB50" s="9">
        <f t="shared" si="66"/>
        <v>5.3424484617502648</v>
      </c>
      <c r="CC50" s="9">
        <f t="shared" ref="CC50" si="92">BE50/BM50</f>
        <v>1.409190378717444</v>
      </c>
      <c r="CD50" s="9">
        <f t="shared" ref="CD50" si="93">BF50/BN50</f>
        <v>30.280517711277152</v>
      </c>
      <c r="CE50" s="9">
        <f t="shared" si="67"/>
        <v>2.8383337926185428</v>
      </c>
      <c r="CF50" s="9">
        <f t="shared" si="63"/>
        <v>21.093811631369956</v>
      </c>
      <c r="CG50" s="9">
        <f t="shared" ref="CG50" si="94">BI50/BQ50</f>
        <v>1.1082018942335807</v>
      </c>
      <c r="CH50" s="9">
        <f t="shared" ref="CH50" si="95">BJ50/BR50</f>
        <v>0.1157045509641388</v>
      </c>
      <c r="CI50" s="9">
        <f>AVERAGE(CE50:CH50)/AVERAGE(CA50:CD50)</f>
        <v>0.62513579176676193</v>
      </c>
    </row>
    <row r="51" spans="1:88" x14ac:dyDescent="0.25">
      <c r="A51">
        <v>39033</v>
      </c>
      <c r="B51" t="s">
        <v>495</v>
      </c>
      <c r="C51">
        <v>27.983129219999999</v>
      </c>
      <c r="D51">
        <v>1.4773896820000001</v>
      </c>
      <c r="E51">
        <v>0.43627524000000001</v>
      </c>
      <c r="F51">
        <v>3.3863706809999998</v>
      </c>
      <c r="G51">
        <v>7.08236E-4</v>
      </c>
      <c r="H51">
        <v>7.9351196999999998E-2</v>
      </c>
      <c r="I51" t="s">
        <v>498</v>
      </c>
      <c r="J51" t="s">
        <v>496</v>
      </c>
      <c r="K51">
        <v>937</v>
      </c>
      <c r="L51">
        <v>48650</v>
      </c>
      <c r="M51">
        <v>94.593000000000004</v>
      </c>
      <c r="N51">
        <v>4181</v>
      </c>
      <c r="O51">
        <v>0.74299999999999999</v>
      </c>
      <c r="P51" t="s">
        <v>47</v>
      </c>
      <c r="Q51" t="s">
        <v>497</v>
      </c>
      <c r="R51">
        <v>28588</v>
      </c>
      <c r="S51">
        <v>2.8000000000000001E-2</v>
      </c>
      <c r="T51">
        <v>21</v>
      </c>
      <c r="U51" t="s">
        <v>49</v>
      </c>
      <c r="V51">
        <v>504.6</v>
      </c>
      <c r="W51">
        <v>371</v>
      </c>
      <c r="X51">
        <v>797</v>
      </c>
      <c r="Y51">
        <v>1388</v>
      </c>
      <c r="Z51">
        <v>42596</v>
      </c>
      <c r="AA51">
        <v>2419</v>
      </c>
      <c r="AB51">
        <v>375</v>
      </c>
      <c r="AC51">
        <v>704</v>
      </c>
      <c r="AD51">
        <v>48650</v>
      </c>
      <c r="AE51">
        <v>16</v>
      </c>
      <c r="AF51">
        <v>41</v>
      </c>
      <c r="AG51">
        <v>77</v>
      </c>
      <c r="AH51">
        <v>6</v>
      </c>
      <c r="AI51">
        <v>16</v>
      </c>
      <c r="AJ51">
        <v>49</v>
      </c>
      <c r="AK51">
        <v>153</v>
      </c>
      <c r="AL51">
        <v>84</v>
      </c>
      <c r="AM51">
        <v>47</v>
      </c>
      <c r="AN51">
        <v>6</v>
      </c>
      <c r="AO51">
        <v>13</v>
      </c>
      <c r="AP51">
        <v>14</v>
      </c>
      <c r="AQ51">
        <v>46</v>
      </c>
      <c r="AR51">
        <v>45</v>
      </c>
      <c r="AS51">
        <v>11</v>
      </c>
      <c r="AT51">
        <v>0</v>
      </c>
      <c r="AU51">
        <v>16</v>
      </c>
      <c r="AV51">
        <v>15</v>
      </c>
      <c r="AW51">
        <v>0</v>
      </c>
      <c r="AX51">
        <v>18</v>
      </c>
      <c r="AY51">
        <v>31</v>
      </c>
      <c r="AZ51">
        <v>71</v>
      </c>
      <c r="BA51">
        <v>11</v>
      </c>
      <c r="BB51">
        <v>7</v>
      </c>
      <c r="BC51" s="3">
        <f>AE51/AE$5*20000000</f>
        <v>180.29519958396881</v>
      </c>
      <c r="BD51" s="3">
        <f t="shared" ref="BD51" si="96">AF51/AF$5*20000000</f>
        <v>117.96283365140141</v>
      </c>
      <c r="BE51" s="3">
        <f t="shared" ref="BE51" si="97">AG51/AG$5*20000000</f>
        <v>244.05511842219951</v>
      </c>
      <c r="BF51" s="3">
        <f t="shared" ref="BF51" si="98">AH51/AH$5*20000000</f>
        <v>45.773782913257151</v>
      </c>
      <c r="BG51" s="3">
        <f t="shared" ref="BG51" si="99">AI51/AI$5*20000000</f>
        <v>240.12936969792477</v>
      </c>
      <c r="BH51" s="3">
        <f t="shared" ref="BH51" si="100">AJ51/AJ$5*20000000</f>
        <v>360.32061180969191</v>
      </c>
      <c r="BI51" s="3">
        <f t="shared" ref="BI51" si="101">AK51/AK$5*20000000</f>
        <v>552.29273680904748</v>
      </c>
      <c r="BJ51" s="3">
        <f t="shared" ref="BJ51" si="102">AL51/AL$5*20000000</f>
        <v>315.81743421269067</v>
      </c>
      <c r="BK51" s="3">
        <f t="shared" ref="BK51" si="103">AM51/AM$5*20000000</f>
        <v>182.50977737884503</v>
      </c>
      <c r="BL51" s="3">
        <f t="shared" ref="BL51" si="104">AN51/AN$5*20000000</f>
        <v>20.59929883419985</v>
      </c>
      <c r="BM51" s="3">
        <f t="shared" ref="BM51" si="105">AO51/AO$5*20000000</f>
        <v>46.620355917727984</v>
      </c>
      <c r="BN51" s="3">
        <f t="shared" ref="BN51" si="106">AP51/AP$5*20000000</f>
        <v>43.116092388546825</v>
      </c>
      <c r="BO51" s="3">
        <f t="shared" ref="BO51" si="107">AQ51/AQ$5*20000000</f>
        <v>224.56617232817513</v>
      </c>
      <c r="BP51" s="3">
        <f t="shared" ref="BP51" si="108">AR51/AR$5*20000000</f>
        <v>83.829448428309618</v>
      </c>
      <c r="BQ51" s="3">
        <f t="shared" ref="BQ51" si="109">AS51/AS$5*20000000</f>
        <v>55.123697577363608</v>
      </c>
      <c r="BR51" s="3">
        <f t="shared" ref="BR51" si="110">AT51/AT$5*20000000</f>
        <v>0</v>
      </c>
      <c r="BS51" s="3">
        <f t="shared" ref="BS51" si="111">AU51/AU$5*20000000</f>
        <v>94.894976467528565</v>
      </c>
      <c r="BT51" s="3">
        <f t="shared" ref="BT51" si="112">AV51/AV$5*20000000</f>
        <v>75.304720551712506</v>
      </c>
      <c r="BU51" s="3">
        <f t="shared" ref="BU51" si="113">AW51/AW$5*20000000</f>
        <v>0</v>
      </c>
      <c r="BV51" s="3">
        <f t="shared" ref="BV51" si="114">AX51/AX$5*20000000</f>
        <v>42.876447467181059</v>
      </c>
      <c r="BW51" s="3">
        <f t="shared" ref="BW51" si="115">AY51/AY$5*20000000</f>
        <v>141.6735808705933</v>
      </c>
      <c r="BX51" s="3">
        <f t="shared" ref="BX51" si="116">AZ51/AZ$5*20000000</f>
        <v>209.73507506004773</v>
      </c>
      <c r="BY51" s="3">
        <f t="shared" ref="BY51" si="117">BA51/BA$5*20000000</f>
        <v>83.173853769779299</v>
      </c>
      <c r="BZ51" s="3">
        <f t="shared" ref="BZ51" si="118">BB51/BB$5*20000000</f>
        <v>210.62450164738448</v>
      </c>
      <c r="CA51" s="9">
        <f t="shared" ref="CA51" si="119">BC51/BK51</f>
        <v>0.98786597722773339</v>
      </c>
      <c r="CB51" s="9">
        <f t="shared" ref="CB51" si="120">BD51/BL51</f>
        <v>5.7265460635754453</v>
      </c>
      <c r="CC51" s="9">
        <f t="shared" ref="CC51" si="121">BE51/BM51</f>
        <v>5.2349475592354811</v>
      </c>
      <c r="CD51" s="9">
        <f t="shared" ref="CD51" si="122">BF51/BN51</f>
        <v>1.0616403383859596</v>
      </c>
      <c r="CE51" s="9">
        <f t="shared" ref="CE51" si="123">BG51/BO51</f>
        <v>1.0693033915500239</v>
      </c>
      <c r="CF51" s="9">
        <f t="shared" ref="CF51" si="124">BH51/BP51</f>
        <v>4.2982581725780493</v>
      </c>
      <c r="CG51" s="9">
        <f t="shared" ref="CG51" si="125">BI51/BQ51</f>
        <v>10.019152580139053</v>
      </c>
      <c r="CH51" s="9"/>
      <c r="CI51" s="9">
        <f>AVERAGE(CE51:CH51)/AVERAGE(CA51:CD51)</f>
        <v>1.5767903278851971</v>
      </c>
    </row>
    <row r="53" spans="1:88" ht="15.75" thickBot="1" x14ac:dyDescent="0.3"/>
    <row r="54" spans="1:88" ht="15.75" customHeight="1" x14ac:dyDescent="0.25">
      <c r="A54" s="86" t="s">
        <v>647</v>
      </c>
      <c r="B54" s="87"/>
      <c r="C54" s="87"/>
      <c r="D54" s="87"/>
      <c r="E54" s="87"/>
      <c r="F54" s="87"/>
      <c r="G54" s="87"/>
      <c r="H54" s="87"/>
      <c r="I54" s="88"/>
    </row>
    <row r="55" spans="1:88" ht="15.75" thickBot="1" x14ac:dyDescent="0.3">
      <c r="A55" s="89"/>
      <c r="B55" s="90"/>
      <c r="C55" s="90"/>
      <c r="D55" s="90"/>
      <c r="E55" s="90"/>
      <c r="F55" s="90"/>
      <c r="G55" s="90"/>
      <c r="H55" s="90"/>
      <c r="I55" s="91"/>
    </row>
    <row r="56" spans="1:88" ht="64.5" thickBot="1" x14ac:dyDescent="0.3">
      <c r="A56" s="23" t="s">
        <v>503</v>
      </c>
      <c r="B56" s="25" t="s">
        <v>504</v>
      </c>
      <c r="C56" s="26" t="s">
        <v>505</v>
      </c>
      <c r="D56" s="25" t="s">
        <v>506</v>
      </c>
      <c r="E56" s="25" t="s">
        <v>507</v>
      </c>
      <c r="F56" s="25" t="s">
        <v>508</v>
      </c>
      <c r="G56" s="25" t="s">
        <v>533</v>
      </c>
      <c r="H56" s="25" t="s">
        <v>595</v>
      </c>
      <c r="I56" s="25" t="s">
        <v>511</v>
      </c>
    </row>
    <row r="57" spans="1:88" x14ac:dyDescent="0.25">
      <c r="A57" s="56" t="s">
        <v>92</v>
      </c>
      <c r="B57" s="56">
        <v>2.02</v>
      </c>
      <c r="C57" s="56">
        <v>5.0000000000000004E-6</v>
      </c>
      <c r="D57" s="56" t="s">
        <v>596</v>
      </c>
      <c r="E57" s="56" t="s">
        <v>597</v>
      </c>
      <c r="F57" s="56" t="s">
        <v>516</v>
      </c>
      <c r="G57" s="56"/>
      <c r="H57" s="28">
        <v>121.3</v>
      </c>
      <c r="I57" s="56" t="s">
        <v>573</v>
      </c>
    </row>
    <row r="58" spans="1:88" ht="39" thickBot="1" x14ac:dyDescent="0.3">
      <c r="A58" s="58"/>
      <c r="B58" s="58"/>
      <c r="C58" s="58"/>
      <c r="D58" s="58"/>
      <c r="E58" s="58"/>
      <c r="F58" s="58"/>
      <c r="G58" s="58"/>
      <c r="H58" s="29" t="s">
        <v>541</v>
      </c>
      <c r="I58" s="58"/>
    </row>
    <row r="59" spans="1:88" ht="73.5" customHeight="1" x14ac:dyDescent="0.25">
      <c r="A59" s="56" t="s">
        <v>154</v>
      </c>
      <c r="B59" s="56">
        <v>2.1</v>
      </c>
      <c r="C59" s="56">
        <v>1E-4</v>
      </c>
      <c r="D59" s="56" t="s">
        <v>598</v>
      </c>
      <c r="E59" s="56" t="s">
        <v>566</v>
      </c>
      <c r="F59" s="56" t="s">
        <v>516</v>
      </c>
      <c r="G59" s="56"/>
      <c r="H59" s="56"/>
      <c r="I59" s="56" t="s">
        <v>599</v>
      </c>
    </row>
    <row r="60" spans="1:88" ht="15.75" thickBot="1" x14ac:dyDescent="0.3">
      <c r="A60" s="58"/>
      <c r="B60" s="58"/>
      <c r="C60" s="58"/>
      <c r="D60" s="58"/>
      <c r="E60" s="58"/>
      <c r="F60" s="58"/>
      <c r="G60" s="58"/>
      <c r="H60" s="58"/>
      <c r="I60" s="58"/>
    </row>
    <row r="61" spans="1:88" ht="48" customHeight="1" x14ac:dyDescent="0.25">
      <c r="A61" s="56" t="s">
        <v>543</v>
      </c>
      <c r="B61" s="56">
        <v>-1.19</v>
      </c>
      <c r="C61" s="56">
        <v>6.9999999999999999E-4</v>
      </c>
      <c r="D61" s="56" t="s">
        <v>544</v>
      </c>
      <c r="E61" s="56" t="s">
        <v>566</v>
      </c>
      <c r="F61" s="56" t="s">
        <v>516</v>
      </c>
      <c r="G61" s="56"/>
      <c r="H61" s="56"/>
      <c r="I61" s="28" t="s">
        <v>522</v>
      </c>
    </row>
    <row r="62" spans="1:88" x14ac:dyDescent="0.25">
      <c r="A62" s="57"/>
      <c r="B62" s="57"/>
      <c r="C62" s="57"/>
      <c r="D62" s="57"/>
      <c r="E62" s="57"/>
      <c r="F62" s="57"/>
      <c r="G62" s="57"/>
      <c r="H62" s="57"/>
      <c r="I62" s="28"/>
    </row>
    <row r="63" spans="1:88" ht="26.25" thickBot="1" x14ac:dyDescent="0.3">
      <c r="A63" s="58"/>
      <c r="B63" s="58"/>
      <c r="C63" s="58"/>
      <c r="D63" s="58"/>
      <c r="E63" s="58"/>
      <c r="F63" s="58"/>
      <c r="G63" s="58"/>
      <c r="H63" s="58"/>
      <c r="I63" s="29" t="s">
        <v>547</v>
      </c>
    </row>
    <row r="64" spans="1:88" ht="73.5" customHeight="1" x14ac:dyDescent="0.25">
      <c r="A64" s="56" t="s">
        <v>159</v>
      </c>
      <c r="B64" s="56">
        <v>1.37</v>
      </c>
      <c r="C64" s="56">
        <v>1E-3</v>
      </c>
      <c r="D64" s="56" t="s">
        <v>600</v>
      </c>
      <c r="E64" s="56" t="s">
        <v>566</v>
      </c>
      <c r="F64" s="56" t="s">
        <v>516</v>
      </c>
      <c r="G64" s="56"/>
      <c r="H64" s="56"/>
      <c r="I64" s="56" t="s">
        <v>601</v>
      </c>
    </row>
    <row r="65" spans="1:9" ht="15.75" thickBot="1" x14ac:dyDescent="0.3">
      <c r="A65" s="58"/>
      <c r="B65" s="58"/>
      <c r="C65" s="58"/>
      <c r="D65" s="58"/>
      <c r="E65" s="58"/>
      <c r="F65" s="58"/>
      <c r="G65" s="58"/>
      <c r="H65" s="58"/>
      <c r="I65" s="58"/>
    </row>
    <row r="66" spans="1:9" x14ac:dyDescent="0.25">
      <c r="A66" s="56" t="s">
        <v>190</v>
      </c>
      <c r="B66" s="56">
        <v>-0.81</v>
      </c>
      <c r="C66" s="56">
        <v>8.0000000000000002E-3</v>
      </c>
      <c r="D66" s="56" t="s">
        <v>602</v>
      </c>
      <c r="E66" s="56" t="s">
        <v>572</v>
      </c>
      <c r="F66" s="56" t="s">
        <v>516</v>
      </c>
      <c r="G66" s="56"/>
      <c r="H66" s="56">
        <v>2.4</v>
      </c>
      <c r="I66" s="56" t="s">
        <v>522</v>
      </c>
    </row>
    <row r="67" spans="1:9" ht="15.75" thickBot="1" x14ac:dyDescent="0.3">
      <c r="A67" s="58"/>
      <c r="B67" s="58"/>
      <c r="C67" s="58"/>
      <c r="D67" s="58"/>
      <c r="E67" s="58"/>
      <c r="F67" s="58"/>
      <c r="G67" s="58"/>
      <c r="H67" s="58"/>
      <c r="I67" s="58"/>
    </row>
    <row r="68" spans="1:9" x14ac:dyDescent="0.25">
      <c r="A68" s="56" t="s">
        <v>196</v>
      </c>
      <c r="B68" s="56">
        <v>-0.78</v>
      </c>
      <c r="C68" s="56">
        <v>0.01</v>
      </c>
      <c r="D68" s="56" t="s">
        <v>602</v>
      </c>
      <c r="E68" s="56" t="s">
        <v>572</v>
      </c>
      <c r="F68" s="56" t="s">
        <v>516</v>
      </c>
      <c r="G68" s="56"/>
      <c r="H68" s="56"/>
      <c r="I68" s="56" t="s">
        <v>522</v>
      </c>
    </row>
    <row r="69" spans="1:9" ht="15.75" thickBot="1" x14ac:dyDescent="0.3">
      <c r="A69" s="58"/>
      <c r="B69" s="58"/>
      <c r="C69" s="58"/>
      <c r="D69" s="58"/>
      <c r="E69" s="58"/>
      <c r="F69" s="58"/>
      <c r="G69" s="58"/>
      <c r="H69" s="58"/>
      <c r="I69" s="58"/>
    </row>
    <row r="70" spans="1:9" x14ac:dyDescent="0.25">
      <c r="A70" s="56" t="s">
        <v>603</v>
      </c>
      <c r="B70" s="56">
        <v>0.82</v>
      </c>
      <c r="C70" s="56">
        <v>0.01</v>
      </c>
      <c r="D70" s="56" t="s">
        <v>604</v>
      </c>
      <c r="E70" s="28"/>
      <c r="F70" s="28"/>
      <c r="G70" s="56"/>
      <c r="H70" s="56"/>
      <c r="I70" s="28" t="s">
        <v>605</v>
      </c>
    </row>
    <row r="71" spans="1:9" x14ac:dyDescent="0.25">
      <c r="A71" s="57"/>
      <c r="B71" s="57"/>
      <c r="C71" s="57"/>
      <c r="D71" s="57"/>
      <c r="E71" s="28"/>
      <c r="F71" s="28"/>
      <c r="G71" s="57"/>
      <c r="H71" s="57"/>
      <c r="I71" s="28" t="s">
        <v>606</v>
      </c>
    </row>
    <row r="72" spans="1:9" x14ac:dyDescent="0.25">
      <c r="A72" s="57"/>
      <c r="B72" s="57"/>
      <c r="C72" s="57"/>
      <c r="D72" s="57"/>
      <c r="E72" s="28"/>
      <c r="F72" s="28"/>
      <c r="G72" s="57"/>
      <c r="H72" s="57"/>
      <c r="I72" s="28" t="s">
        <v>607</v>
      </c>
    </row>
    <row r="73" spans="1:9" x14ac:dyDescent="0.25">
      <c r="A73" s="57"/>
      <c r="B73" s="57"/>
      <c r="C73" s="57"/>
      <c r="D73" s="57"/>
      <c r="E73" s="28" t="s">
        <v>550</v>
      </c>
      <c r="F73" s="28" t="s">
        <v>551</v>
      </c>
      <c r="G73" s="57"/>
      <c r="H73" s="57"/>
      <c r="I73" s="28"/>
    </row>
    <row r="74" spans="1:9" x14ac:dyDescent="0.25">
      <c r="A74" s="57"/>
      <c r="B74" s="57"/>
      <c r="C74" s="57"/>
      <c r="D74" s="57"/>
      <c r="E74" s="36"/>
      <c r="F74" s="36"/>
      <c r="G74" s="57"/>
      <c r="H74" s="57"/>
      <c r="I74" s="28"/>
    </row>
    <row r="75" spans="1:9" ht="26.25" thickBot="1" x14ac:dyDescent="0.3">
      <c r="A75" s="58"/>
      <c r="B75" s="58"/>
      <c r="C75" s="58"/>
      <c r="D75" s="58"/>
      <c r="E75" s="34"/>
      <c r="F75" s="34"/>
      <c r="G75" s="58"/>
      <c r="H75" s="58"/>
      <c r="I75" s="29" t="s">
        <v>547</v>
      </c>
    </row>
    <row r="76" spans="1:9" ht="158.25" customHeight="1" x14ac:dyDescent="0.25">
      <c r="A76" s="56" t="s">
        <v>608</v>
      </c>
      <c r="B76" s="56">
        <v>1.43</v>
      </c>
      <c r="C76" s="56">
        <v>1.2999999999999999E-2</v>
      </c>
      <c r="D76" s="56" t="s">
        <v>609</v>
      </c>
      <c r="E76" s="28"/>
      <c r="F76" s="28"/>
      <c r="G76" s="56"/>
      <c r="H76" s="56"/>
      <c r="I76" s="56" t="s">
        <v>610</v>
      </c>
    </row>
    <row r="77" spans="1:9" x14ac:dyDescent="0.25">
      <c r="A77" s="57"/>
      <c r="B77" s="57"/>
      <c r="C77" s="57"/>
      <c r="D77" s="57"/>
      <c r="E77" s="28"/>
      <c r="F77" s="28"/>
      <c r="G77" s="57"/>
      <c r="H77" s="57"/>
      <c r="I77" s="57"/>
    </row>
    <row r="78" spans="1:9" x14ac:dyDescent="0.25">
      <c r="A78" s="57"/>
      <c r="B78" s="57"/>
      <c r="C78" s="57"/>
      <c r="D78" s="57"/>
      <c r="E78" s="28"/>
      <c r="F78" s="28"/>
      <c r="G78" s="57"/>
      <c r="H78" s="57"/>
      <c r="I78" s="57"/>
    </row>
    <row r="79" spans="1:9" ht="15.75" thickBot="1" x14ac:dyDescent="0.3">
      <c r="A79" s="58"/>
      <c r="B79" s="58"/>
      <c r="C79" s="58"/>
      <c r="D79" s="58"/>
      <c r="E79" s="29" t="s">
        <v>566</v>
      </c>
      <c r="F79" s="29" t="s">
        <v>516</v>
      </c>
      <c r="G79" s="58"/>
      <c r="H79" s="58"/>
      <c r="I79" s="58"/>
    </row>
    <row r="80" spans="1:9" x14ac:dyDescent="0.25">
      <c r="A80" s="56" t="s">
        <v>208</v>
      </c>
      <c r="B80" s="56">
        <v>-0.78</v>
      </c>
      <c r="C80" s="56">
        <v>1.2999999999999999E-2</v>
      </c>
      <c r="D80" s="56" t="s">
        <v>602</v>
      </c>
      <c r="E80" s="56" t="s">
        <v>572</v>
      </c>
      <c r="F80" s="56" t="s">
        <v>516</v>
      </c>
      <c r="G80" s="56"/>
      <c r="H80" s="56"/>
      <c r="I80" s="56" t="s">
        <v>522</v>
      </c>
    </row>
    <row r="81" spans="1:9" ht="15.75" thickBot="1" x14ac:dyDescent="0.3">
      <c r="A81" s="58"/>
      <c r="B81" s="58"/>
      <c r="C81" s="58"/>
      <c r="D81" s="58"/>
      <c r="E81" s="58"/>
      <c r="F81" s="58"/>
      <c r="G81" s="58"/>
      <c r="H81" s="58"/>
      <c r="I81" s="58"/>
    </row>
    <row r="82" spans="1:9" x14ac:dyDescent="0.25">
      <c r="A82" s="56" t="s">
        <v>115</v>
      </c>
      <c r="B82" s="56">
        <v>1.5</v>
      </c>
      <c r="C82" s="56">
        <v>1.6E-2</v>
      </c>
      <c r="D82" s="56" t="s">
        <v>611</v>
      </c>
      <c r="E82" s="28"/>
      <c r="F82" s="28"/>
      <c r="G82" s="56"/>
      <c r="H82" s="56"/>
      <c r="I82" s="28"/>
    </row>
    <row r="83" spans="1:9" x14ac:dyDescent="0.25">
      <c r="A83" s="57"/>
      <c r="B83" s="57"/>
      <c r="C83" s="57"/>
      <c r="D83" s="57"/>
      <c r="E83" s="28"/>
      <c r="F83" s="28"/>
      <c r="G83" s="57"/>
      <c r="H83" s="57"/>
      <c r="I83" s="28"/>
    </row>
    <row r="84" spans="1:9" x14ac:dyDescent="0.25">
      <c r="A84" s="57"/>
      <c r="B84" s="57"/>
      <c r="C84" s="57"/>
      <c r="D84" s="57"/>
      <c r="E84" s="28"/>
      <c r="F84" s="28"/>
      <c r="G84" s="57"/>
      <c r="H84" s="57"/>
      <c r="I84" s="28"/>
    </row>
    <row r="85" spans="1:9" ht="26.25" thickBot="1" x14ac:dyDescent="0.3">
      <c r="A85" s="58"/>
      <c r="B85" s="58"/>
      <c r="C85" s="58"/>
      <c r="D85" s="58"/>
      <c r="E85" s="29" t="s">
        <v>572</v>
      </c>
      <c r="F85" s="29" t="s">
        <v>516</v>
      </c>
      <c r="G85" s="58"/>
      <c r="H85" s="58"/>
      <c r="I85" s="29" t="s">
        <v>547</v>
      </c>
    </row>
    <row r="86" spans="1:9" x14ac:dyDescent="0.25">
      <c r="A86" s="56" t="s">
        <v>488</v>
      </c>
      <c r="B86" s="56">
        <v>1.1599999999999999</v>
      </c>
      <c r="C86" s="56">
        <v>2.5999999999999999E-2</v>
      </c>
      <c r="D86" s="92" t="s">
        <v>612</v>
      </c>
      <c r="E86" s="79"/>
      <c r="F86" s="56" t="s">
        <v>413</v>
      </c>
      <c r="G86" s="56"/>
      <c r="H86" s="56"/>
      <c r="I86" s="56" t="s">
        <v>523</v>
      </c>
    </row>
    <row r="87" spans="1:9" x14ac:dyDescent="0.25">
      <c r="A87" s="57"/>
      <c r="B87" s="57"/>
      <c r="C87" s="57"/>
      <c r="D87" s="93"/>
      <c r="E87" s="95"/>
      <c r="F87" s="57"/>
      <c r="G87" s="57"/>
      <c r="H87" s="57"/>
      <c r="I87" s="57"/>
    </row>
    <row r="88" spans="1:9" ht="15.75" thickBot="1" x14ac:dyDescent="0.3">
      <c r="A88" s="58"/>
      <c r="B88" s="58"/>
      <c r="C88" s="58"/>
      <c r="D88" s="94"/>
      <c r="E88" s="80"/>
      <c r="F88" s="58"/>
      <c r="G88" s="58"/>
      <c r="H88" s="58"/>
      <c r="I88" s="58"/>
    </row>
    <row r="89" spans="1:9" x14ac:dyDescent="0.25">
      <c r="A89" s="56" t="s">
        <v>223</v>
      </c>
      <c r="B89" s="56">
        <v>-0.74</v>
      </c>
      <c r="C89" s="56">
        <v>2.7E-2</v>
      </c>
      <c r="D89" s="56" t="s">
        <v>602</v>
      </c>
      <c r="E89" s="56" t="s">
        <v>572</v>
      </c>
      <c r="F89" s="56" t="s">
        <v>516</v>
      </c>
      <c r="G89" s="56"/>
      <c r="H89" s="56"/>
      <c r="I89" s="56" t="s">
        <v>522</v>
      </c>
    </row>
    <row r="90" spans="1:9" ht="15.75" thickBot="1" x14ac:dyDescent="0.3">
      <c r="A90" s="58"/>
      <c r="B90" s="58"/>
      <c r="C90" s="58"/>
      <c r="D90" s="58"/>
      <c r="E90" s="58"/>
      <c r="F90" s="58"/>
      <c r="G90" s="58"/>
      <c r="H90" s="58"/>
      <c r="I90" s="58"/>
    </row>
    <row r="91" spans="1:9" x14ac:dyDescent="0.25">
      <c r="A91" s="56" t="s">
        <v>613</v>
      </c>
      <c r="B91" s="56">
        <v>1</v>
      </c>
      <c r="C91" s="56">
        <v>0.03</v>
      </c>
      <c r="D91" s="56" t="s">
        <v>612</v>
      </c>
      <c r="E91" s="56"/>
      <c r="F91" s="56" t="s">
        <v>413</v>
      </c>
      <c r="G91" s="56"/>
      <c r="H91" s="56"/>
      <c r="I91" s="56" t="s">
        <v>523</v>
      </c>
    </row>
    <row r="92" spans="1:9" ht="15.75" thickBot="1" x14ac:dyDescent="0.3">
      <c r="A92" s="58"/>
      <c r="B92" s="58"/>
      <c r="C92" s="58"/>
      <c r="D92" s="58"/>
      <c r="E92" s="58"/>
      <c r="F92" s="58"/>
      <c r="G92" s="58"/>
      <c r="H92" s="58"/>
      <c r="I92" s="58"/>
    </row>
    <row r="93" spans="1:9" ht="22.5" customHeight="1" x14ac:dyDescent="0.25">
      <c r="A93" s="56" t="s">
        <v>614</v>
      </c>
      <c r="B93" s="56">
        <v>-0.98</v>
      </c>
      <c r="C93" s="56">
        <v>0.04</v>
      </c>
      <c r="D93" s="56" t="s">
        <v>612</v>
      </c>
      <c r="E93" s="56"/>
      <c r="F93" s="56" t="s">
        <v>413</v>
      </c>
      <c r="G93" s="56"/>
      <c r="H93" s="56"/>
      <c r="I93" s="56" t="s">
        <v>523</v>
      </c>
    </row>
    <row r="94" spans="1:9" ht="15.75" thickBot="1" x14ac:dyDescent="0.3">
      <c r="A94" s="58"/>
      <c r="B94" s="58"/>
      <c r="C94" s="58"/>
      <c r="D94" s="58"/>
      <c r="E94" s="58"/>
      <c r="F94" s="58"/>
      <c r="G94" s="58"/>
      <c r="H94" s="58"/>
      <c r="I94" s="58"/>
    </row>
    <row r="95" spans="1:9" x14ac:dyDescent="0.25">
      <c r="A95" s="56" t="s">
        <v>242</v>
      </c>
      <c r="B95" s="56">
        <v>-0.77</v>
      </c>
      <c r="C95" s="56">
        <v>4.5999999999999999E-2</v>
      </c>
      <c r="D95" s="56" t="s">
        <v>602</v>
      </c>
      <c r="E95" s="56" t="s">
        <v>572</v>
      </c>
      <c r="F95" s="56" t="s">
        <v>516</v>
      </c>
      <c r="G95" s="56"/>
      <c r="H95" s="56"/>
      <c r="I95" s="56" t="s">
        <v>522</v>
      </c>
    </row>
    <row r="96" spans="1:9" ht="15.75" thickBot="1" x14ac:dyDescent="0.3">
      <c r="A96" s="58"/>
      <c r="B96" s="58"/>
      <c r="C96" s="58"/>
      <c r="D96" s="58"/>
      <c r="E96" s="58"/>
      <c r="F96" s="58"/>
      <c r="G96" s="58"/>
      <c r="H96" s="58"/>
      <c r="I96" s="58"/>
    </row>
    <row r="97" spans="1:9" ht="22.5" customHeight="1" x14ac:dyDescent="0.25">
      <c r="A97" s="62" t="s">
        <v>249</v>
      </c>
      <c r="B97" s="56">
        <v>1.2</v>
      </c>
      <c r="C97" s="56">
        <v>0.05</v>
      </c>
      <c r="D97" s="56" t="s">
        <v>615</v>
      </c>
      <c r="E97" s="56" t="s">
        <v>566</v>
      </c>
      <c r="F97" s="56" t="s">
        <v>516</v>
      </c>
      <c r="G97" s="56"/>
      <c r="H97" s="56"/>
      <c r="I97" s="56" t="s">
        <v>522</v>
      </c>
    </row>
    <row r="98" spans="1:9" ht="15.75" thickBot="1" x14ac:dyDescent="0.3">
      <c r="A98" s="63"/>
      <c r="B98" s="58"/>
      <c r="C98" s="58"/>
      <c r="D98" s="58"/>
      <c r="E98" s="58"/>
      <c r="F98" s="58"/>
      <c r="G98" s="58"/>
      <c r="H98" s="58"/>
      <c r="I98" s="58"/>
    </row>
    <row r="99" spans="1:9" ht="35.25" customHeight="1" x14ac:dyDescent="0.25">
      <c r="A99" s="62" t="s">
        <v>616</v>
      </c>
      <c r="B99" s="56">
        <v>0.41</v>
      </c>
      <c r="C99" s="56">
        <v>0.03</v>
      </c>
      <c r="D99" s="56" t="s">
        <v>617</v>
      </c>
      <c r="E99" s="56" t="s">
        <v>618</v>
      </c>
      <c r="F99" s="56" t="s">
        <v>516</v>
      </c>
      <c r="G99" s="56" t="s">
        <v>619</v>
      </c>
      <c r="H99" s="77">
        <v>18631</v>
      </c>
      <c r="I99" s="56" t="s">
        <v>620</v>
      </c>
    </row>
    <row r="100" spans="1:9" ht="15.75" thickBot="1" x14ac:dyDescent="0.3">
      <c r="A100" s="63"/>
      <c r="B100" s="58"/>
      <c r="C100" s="58"/>
      <c r="D100" s="58"/>
      <c r="E100" s="58"/>
      <c r="F100" s="58"/>
      <c r="G100" s="58"/>
      <c r="H100" s="78"/>
      <c r="I100" s="58"/>
    </row>
    <row r="101" spans="1:9" ht="51.75" thickBot="1" x14ac:dyDescent="0.3">
      <c r="A101" s="39" t="s">
        <v>621</v>
      </c>
      <c r="B101" s="29">
        <v>-1.18</v>
      </c>
      <c r="C101" s="29">
        <v>0.09</v>
      </c>
      <c r="D101" s="29"/>
      <c r="E101" s="29" t="s">
        <v>618</v>
      </c>
      <c r="F101" s="29" t="s">
        <v>516</v>
      </c>
      <c r="G101" s="29" t="s">
        <v>622</v>
      </c>
      <c r="H101" s="40">
        <v>3375.4</v>
      </c>
      <c r="I101" s="29" t="s">
        <v>620</v>
      </c>
    </row>
    <row r="102" spans="1:9" ht="51.75" thickBot="1" x14ac:dyDescent="0.3">
      <c r="A102" s="35" t="s">
        <v>623</v>
      </c>
      <c r="B102" s="29" t="s">
        <v>624</v>
      </c>
      <c r="C102" s="29">
        <v>0.06</v>
      </c>
      <c r="D102" s="29" t="s">
        <v>612</v>
      </c>
      <c r="E102" s="29" t="s">
        <v>572</v>
      </c>
      <c r="F102" s="29" t="s">
        <v>516</v>
      </c>
      <c r="G102" s="29"/>
      <c r="H102" s="41">
        <v>5366</v>
      </c>
      <c r="I102" s="29" t="s">
        <v>517</v>
      </c>
    </row>
    <row r="103" spans="1:9" ht="77.25" thickBot="1" x14ac:dyDescent="0.3">
      <c r="A103" s="35" t="s">
        <v>625</v>
      </c>
      <c r="B103" s="29" t="s">
        <v>626</v>
      </c>
      <c r="C103" s="29">
        <v>6.0000000000000001E-3</v>
      </c>
      <c r="D103" s="29" t="s">
        <v>627</v>
      </c>
      <c r="E103" s="29" t="s">
        <v>628</v>
      </c>
      <c r="F103" s="29" t="s">
        <v>516</v>
      </c>
      <c r="G103" s="29" t="s">
        <v>629</v>
      </c>
      <c r="H103" s="40">
        <v>1260.5</v>
      </c>
      <c r="I103" s="29" t="s">
        <v>630</v>
      </c>
    </row>
    <row r="104" spans="1:9" ht="99" customHeight="1" x14ac:dyDescent="0.25">
      <c r="A104" s="38" t="s">
        <v>57</v>
      </c>
      <c r="B104" s="56" t="s">
        <v>632</v>
      </c>
      <c r="C104" s="56">
        <v>0.03</v>
      </c>
      <c r="D104" s="56" t="s">
        <v>633</v>
      </c>
      <c r="E104" s="56" t="s">
        <v>634</v>
      </c>
      <c r="F104" s="56" t="s">
        <v>413</v>
      </c>
      <c r="G104" s="79" t="s">
        <v>635</v>
      </c>
      <c r="H104" s="56">
        <v>398.3</v>
      </c>
      <c r="I104" s="56" t="s">
        <v>636</v>
      </c>
    </row>
    <row r="105" spans="1:9" ht="15.75" thickBot="1" x14ac:dyDescent="0.3">
      <c r="A105" s="35" t="s">
        <v>631</v>
      </c>
      <c r="B105" s="58"/>
      <c r="C105" s="58"/>
      <c r="D105" s="58"/>
      <c r="E105" s="58"/>
      <c r="F105" s="58"/>
      <c r="G105" s="80"/>
      <c r="H105" s="58"/>
      <c r="I105" s="58"/>
    </row>
    <row r="106" spans="1:9" ht="25.5" x14ac:dyDescent="0.25">
      <c r="A106" s="96" t="s">
        <v>637</v>
      </c>
      <c r="B106" s="56">
        <v>1.47</v>
      </c>
      <c r="C106" s="56">
        <v>7.4999999999999997E-2</v>
      </c>
      <c r="D106" s="28" t="s">
        <v>638</v>
      </c>
      <c r="E106" s="56" t="s">
        <v>566</v>
      </c>
      <c r="F106" s="56" t="s">
        <v>516</v>
      </c>
      <c r="G106" s="56" t="s">
        <v>641</v>
      </c>
      <c r="H106" s="56">
        <v>3172.2</v>
      </c>
      <c r="I106" s="56" t="s">
        <v>642</v>
      </c>
    </row>
    <row r="107" spans="1:9" ht="102" x14ac:dyDescent="0.25">
      <c r="A107" s="97"/>
      <c r="B107" s="57"/>
      <c r="C107" s="57"/>
      <c r="D107" s="28" t="s">
        <v>639</v>
      </c>
      <c r="E107" s="57"/>
      <c r="F107" s="57"/>
      <c r="G107" s="57"/>
      <c r="H107" s="57"/>
      <c r="I107" s="57"/>
    </row>
    <row r="108" spans="1:9" ht="77.25" thickBot="1" x14ac:dyDescent="0.3">
      <c r="A108" s="98"/>
      <c r="B108" s="58"/>
      <c r="C108" s="58"/>
      <c r="D108" s="29" t="s">
        <v>640</v>
      </c>
      <c r="E108" s="58"/>
      <c r="F108" s="58"/>
      <c r="G108" s="58"/>
      <c r="H108" s="58"/>
      <c r="I108" s="58"/>
    </row>
    <row r="109" spans="1:9" ht="51.75" thickBot="1" x14ac:dyDescent="0.3">
      <c r="A109" s="35" t="s">
        <v>643</v>
      </c>
      <c r="B109" s="29">
        <v>1.47</v>
      </c>
      <c r="C109" s="29">
        <v>0.08</v>
      </c>
      <c r="D109" s="29"/>
      <c r="E109" s="29"/>
      <c r="F109" s="29"/>
      <c r="G109" s="29" t="s">
        <v>644</v>
      </c>
      <c r="H109" s="29">
        <v>504.6</v>
      </c>
      <c r="I109" s="29" t="s">
        <v>523</v>
      </c>
    </row>
    <row r="110" spans="1:9" ht="38.25" customHeight="1" x14ac:dyDescent="0.25">
      <c r="A110" s="64" t="s">
        <v>645</v>
      </c>
      <c r="B110" s="65"/>
      <c r="C110" s="65"/>
      <c r="D110" s="65"/>
      <c r="E110" s="65"/>
      <c r="F110" s="65"/>
      <c r="G110" s="65"/>
      <c r="H110" s="65"/>
      <c r="I110" s="66"/>
    </row>
    <row r="111" spans="1:9" ht="15.75" thickBot="1" x14ac:dyDescent="0.3">
      <c r="A111" s="70" t="s">
        <v>646</v>
      </c>
      <c r="B111" s="71"/>
      <c r="C111" s="71"/>
      <c r="D111" s="71"/>
      <c r="E111" s="71"/>
      <c r="F111" s="71"/>
      <c r="G111" s="71"/>
      <c r="H111" s="71"/>
      <c r="I111" s="72"/>
    </row>
  </sheetData>
  <mergeCells count="162">
    <mergeCell ref="A110:I110"/>
    <mergeCell ref="A111:I111"/>
    <mergeCell ref="A106:A108"/>
    <mergeCell ref="B106:B108"/>
    <mergeCell ref="C106:C108"/>
    <mergeCell ref="E106:E108"/>
    <mergeCell ref="F106:F108"/>
    <mergeCell ref="G106:G108"/>
    <mergeCell ref="B104:B105"/>
    <mergeCell ref="C104:C105"/>
    <mergeCell ref="D104:D105"/>
    <mergeCell ref="E104:E105"/>
    <mergeCell ref="F104:F105"/>
    <mergeCell ref="G104:G105"/>
    <mergeCell ref="H104:H105"/>
    <mergeCell ref="I104:I105"/>
    <mergeCell ref="H106:H108"/>
    <mergeCell ref="I106:I108"/>
    <mergeCell ref="A99:A100"/>
    <mergeCell ref="B99:B100"/>
    <mergeCell ref="C99:C100"/>
    <mergeCell ref="D99:D100"/>
    <mergeCell ref="E99:E100"/>
    <mergeCell ref="F99:F100"/>
    <mergeCell ref="G99:G100"/>
    <mergeCell ref="H99:H100"/>
    <mergeCell ref="I99:I100"/>
    <mergeCell ref="G95:G96"/>
    <mergeCell ref="H95:H96"/>
    <mergeCell ref="I95:I96"/>
    <mergeCell ref="A97:A98"/>
    <mergeCell ref="B97:B98"/>
    <mergeCell ref="C97:C98"/>
    <mergeCell ref="D97:D98"/>
    <mergeCell ref="E97:E98"/>
    <mergeCell ref="F97:F98"/>
    <mergeCell ref="G97:G98"/>
    <mergeCell ref="A95:A96"/>
    <mergeCell ref="B95:B96"/>
    <mergeCell ref="C95:C96"/>
    <mergeCell ref="D95:D96"/>
    <mergeCell ref="E95:E96"/>
    <mergeCell ref="F95:F96"/>
    <mergeCell ref="H97:H98"/>
    <mergeCell ref="I97:I98"/>
    <mergeCell ref="A93:A94"/>
    <mergeCell ref="B93:B94"/>
    <mergeCell ref="C93:C94"/>
    <mergeCell ref="D93:D94"/>
    <mergeCell ref="E93:E94"/>
    <mergeCell ref="F93:F94"/>
    <mergeCell ref="G93:G94"/>
    <mergeCell ref="H93:H94"/>
    <mergeCell ref="I93:I94"/>
    <mergeCell ref="A91:A92"/>
    <mergeCell ref="B91:B92"/>
    <mergeCell ref="C91:C92"/>
    <mergeCell ref="D91:D92"/>
    <mergeCell ref="E91:E92"/>
    <mergeCell ref="F91:F92"/>
    <mergeCell ref="G91:G92"/>
    <mergeCell ref="H91:H92"/>
    <mergeCell ref="I91:I92"/>
    <mergeCell ref="G86:G88"/>
    <mergeCell ref="H86:H88"/>
    <mergeCell ref="I86:I88"/>
    <mergeCell ref="A89:A90"/>
    <mergeCell ref="B89:B90"/>
    <mergeCell ref="C89:C90"/>
    <mergeCell ref="D89:D90"/>
    <mergeCell ref="E89:E90"/>
    <mergeCell ref="F89:F90"/>
    <mergeCell ref="G89:G90"/>
    <mergeCell ref="A86:A88"/>
    <mergeCell ref="B86:B88"/>
    <mergeCell ref="C86:C88"/>
    <mergeCell ref="D86:D88"/>
    <mergeCell ref="E86:E88"/>
    <mergeCell ref="F86:F88"/>
    <mergeCell ref="H89:H90"/>
    <mergeCell ref="I89:I90"/>
    <mergeCell ref="A82:A85"/>
    <mergeCell ref="B82:B85"/>
    <mergeCell ref="C82:C85"/>
    <mergeCell ref="D82:D85"/>
    <mergeCell ref="G82:G85"/>
    <mergeCell ref="H82:H85"/>
    <mergeCell ref="I76:I79"/>
    <mergeCell ref="A80:A81"/>
    <mergeCell ref="B80:B81"/>
    <mergeCell ref="C80:C81"/>
    <mergeCell ref="D80:D81"/>
    <mergeCell ref="E80:E81"/>
    <mergeCell ref="F80:F81"/>
    <mergeCell ref="G80:G81"/>
    <mergeCell ref="H80:H81"/>
    <mergeCell ref="I80:I81"/>
    <mergeCell ref="A76:A79"/>
    <mergeCell ref="B76:B79"/>
    <mergeCell ref="C76:C79"/>
    <mergeCell ref="D76:D79"/>
    <mergeCell ref="G76:G79"/>
    <mergeCell ref="H76:H79"/>
    <mergeCell ref="G68:G69"/>
    <mergeCell ref="H68:H69"/>
    <mergeCell ref="I68:I69"/>
    <mergeCell ref="A70:A75"/>
    <mergeCell ref="B70:B75"/>
    <mergeCell ref="C70:C75"/>
    <mergeCell ref="D70:D75"/>
    <mergeCell ref="G70:G75"/>
    <mergeCell ref="H70:H75"/>
    <mergeCell ref="A68:A69"/>
    <mergeCell ref="B68:B69"/>
    <mergeCell ref="C68:C69"/>
    <mergeCell ref="D68:D69"/>
    <mergeCell ref="E68:E69"/>
    <mergeCell ref="F68:F69"/>
    <mergeCell ref="A66:A67"/>
    <mergeCell ref="B66:B67"/>
    <mergeCell ref="C66:C67"/>
    <mergeCell ref="D66:D67"/>
    <mergeCell ref="E66:E67"/>
    <mergeCell ref="F66:F67"/>
    <mergeCell ref="G66:G67"/>
    <mergeCell ref="H66:H67"/>
    <mergeCell ref="I66:I67"/>
    <mergeCell ref="A64:A65"/>
    <mergeCell ref="B64:B65"/>
    <mergeCell ref="C64:C65"/>
    <mergeCell ref="D64:D65"/>
    <mergeCell ref="E64:E65"/>
    <mergeCell ref="F64:F65"/>
    <mergeCell ref="G64:G65"/>
    <mergeCell ref="H64:H65"/>
    <mergeCell ref="I64:I65"/>
    <mergeCell ref="G59:G60"/>
    <mergeCell ref="H59:H60"/>
    <mergeCell ref="I59:I60"/>
    <mergeCell ref="A61:A63"/>
    <mergeCell ref="B61:B63"/>
    <mergeCell ref="C61:C63"/>
    <mergeCell ref="D61:D63"/>
    <mergeCell ref="E61:E63"/>
    <mergeCell ref="F61:F63"/>
    <mergeCell ref="G61:G63"/>
    <mergeCell ref="A59:A60"/>
    <mergeCell ref="B59:B60"/>
    <mergeCell ref="C59:C60"/>
    <mergeCell ref="D59:D60"/>
    <mergeCell ref="E59:E60"/>
    <mergeCell ref="F59:F60"/>
    <mergeCell ref="H61:H63"/>
    <mergeCell ref="A54:I55"/>
    <mergeCell ref="A57:A58"/>
    <mergeCell ref="B57:B58"/>
    <mergeCell ref="C57:C58"/>
    <mergeCell ref="D57:D58"/>
    <mergeCell ref="E57:E58"/>
    <mergeCell ref="F57:F58"/>
    <mergeCell ref="G57:G58"/>
    <mergeCell ref="I57:I5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87"/>
  <sheetViews>
    <sheetView tabSelected="1" workbookViewId="0">
      <pane ySplit="2400" topLeftCell="A37" activePane="bottomLeft"/>
      <selection activeCell="AX7" sqref="AX7"/>
      <selection pane="bottomLeft" activeCell="I67" sqref="I67"/>
    </sheetView>
  </sheetViews>
  <sheetFormatPr defaultRowHeight="15" x14ac:dyDescent="0.25"/>
  <cols>
    <col min="2" max="2" width="15" customWidth="1"/>
    <col min="9" max="9" width="14.140625" customWidth="1"/>
    <col min="10" max="10" width="3.85546875" customWidth="1"/>
    <col min="11" max="11" width="5.28515625" customWidth="1"/>
    <col min="12" max="12" width="6.42578125" customWidth="1"/>
    <col min="14" max="14" width="5.85546875" customWidth="1"/>
    <col min="15" max="15" width="8" customWidth="1"/>
    <col min="16" max="16" width="2.85546875" customWidth="1"/>
    <col min="55" max="55" width="7.140625" customWidth="1"/>
    <col min="56" max="56" width="6.7109375" customWidth="1"/>
    <col min="57" max="57" width="6.85546875" customWidth="1"/>
    <col min="58" max="58" width="7" customWidth="1"/>
    <col min="59" max="59" width="7.140625" customWidth="1"/>
    <col min="60" max="61" width="7" customWidth="1"/>
    <col min="62" max="62" width="6.85546875" customWidth="1"/>
    <col min="63" max="63" width="6.7109375" customWidth="1"/>
    <col min="64" max="65" width="7.140625" customWidth="1"/>
    <col min="66" max="66" width="6.85546875" customWidth="1"/>
    <col min="67" max="67" width="6.7109375" customWidth="1"/>
    <col min="68" max="68" width="7.140625" customWidth="1"/>
    <col min="69" max="69" width="7" customWidth="1"/>
    <col min="70" max="71" width="6.85546875" customWidth="1"/>
    <col min="72" max="72" width="6.7109375" customWidth="1"/>
    <col min="73" max="73" width="6.85546875" customWidth="1"/>
    <col min="74" max="74" width="5.85546875" customWidth="1"/>
    <col min="75" max="75" width="6.7109375" customWidth="1"/>
    <col min="76" max="76" width="7" customWidth="1"/>
    <col min="77" max="77" width="6.85546875" customWidth="1"/>
    <col min="78" max="78" width="6" customWidth="1"/>
    <col min="79" max="79" width="8.42578125" customWidth="1"/>
    <col min="80" max="80" width="8.5703125" customWidth="1"/>
    <col min="81" max="81" width="7.5703125" customWidth="1"/>
    <col min="82" max="82" width="6.140625" customWidth="1"/>
  </cols>
  <sheetData>
    <row r="1" spans="1:82" x14ac:dyDescent="0.25">
      <c r="A1" t="s">
        <v>746</v>
      </c>
    </row>
    <row r="2" spans="1:82" x14ac:dyDescent="0.25">
      <c r="AE2" t="s">
        <v>149</v>
      </c>
      <c r="BC2" t="s">
        <v>150</v>
      </c>
    </row>
    <row r="3" spans="1:82" x14ac:dyDescent="0.25">
      <c r="AD3" t="s">
        <v>148</v>
      </c>
      <c r="AE3" t="s">
        <v>144</v>
      </c>
      <c r="AF3" t="s">
        <v>145</v>
      </c>
      <c r="AG3" t="s">
        <v>146</v>
      </c>
      <c r="AH3" t="s">
        <v>147</v>
      </c>
      <c r="AI3" t="s">
        <v>144</v>
      </c>
      <c r="AJ3" t="s">
        <v>145</v>
      </c>
      <c r="AK3" t="s">
        <v>146</v>
      </c>
      <c r="AL3" t="s">
        <v>147</v>
      </c>
      <c r="AM3" t="s">
        <v>144</v>
      </c>
      <c r="AN3" t="s">
        <v>145</v>
      </c>
      <c r="AO3" t="s">
        <v>146</v>
      </c>
      <c r="AP3" t="s">
        <v>147</v>
      </c>
      <c r="AQ3" t="s">
        <v>144</v>
      </c>
      <c r="AR3" t="s">
        <v>145</v>
      </c>
      <c r="AS3" t="s">
        <v>146</v>
      </c>
      <c r="AT3" t="s">
        <v>147</v>
      </c>
      <c r="AU3" t="s">
        <v>144</v>
      </c>
      <c r="AV3" t="s">
        <v>145</v>
      </c>
      <c r="AW3" t="s">
        <v>146</v>
      </c>
      <c r="AX3" t="s">
        <v>147</v>
      </c>
      <c r="AY3" t="s">
        <v>144</v>
      </c>
      <c r="AZ3" t="s">
        <v>145</v>
      </c>
      <c r="BA3" t="s">
        <v>146</v>
      </c>
      <c r="BB3" t="s">
        <v>147</v>
      </c>
      <c r="BC3" s="1" t="s">
        <v>144</v>
      </c>
      <c r="BD3" s="11" t="s">
        <v>145</v>
      </c>
      <c r="BE3" s="14" t="s">
        <v>146</v>
      </c>
      <c r="BF3" s="17" t="s">
        <v>147</v>
      </c>
      <c r="BG3" s="1" t="s">
        <v>144</v>
      </c>
      <c r="BH3" s="11" t="s">
        <v>145</v>
      </c>
      <c r="BI3" s="14" t="s">
        <v>146</v>
      </c>
      <c r="BJ3" s="17" t="s">
        <v>147</v>
      </c>
      <c r="BK3" s="1" t="s">
        <v>144</v>
      </c>
      <c r="BL3" s="11" t="s">
        <v>145</v>
      </c>
      <c r="BM3" s="14" t="s">
        <v>146</v>
      </c>
      <c r="BN3" s="17" t="s">
        <v>147</v>
      </c>
      <c r="BO3" s="1" t="s">
        <v>144</v>
      </c>
      <c r="BP3" s="11" t="s">
        <v>145</v>
      </c>
      <c r="BQ3" s="14" t="s">
        <v>146</v>
      </c>
      <c r="BR3" s="17" t="s">
        <v>147</v>
      </c>
      <c r="BS3" s="1" t="s">
        <v>144</v>
      </c>
      <c r="BT3" s="11" t="s">
        <v>145</v>
      </c>
      <c r="BU3" s="14" t="s">
        <v>146</v>
      </c>
      <c r="BV3" s="17" t="s">
        <v>147</v>
      </c>
      <c r="BW3" s="1" t="s">
        <v>144</v>
      </c>
      <c r="BX3" s="11" t="s">
        <v>145</v>
      </c>
      <c r="BY3" s="14" t="s">
        <v>146</v>
      </c>
      <c r="BZ3" s="17" t="s">
        <v>147</v>
      </c>
      <c r="CA3" t="s">
        <v>148</v>
      </c>
    </row>
    <row r="4" spans="1:82" x14ac:dyDescent="0.25">
      <c r="AD4" t="s">
        <v>140</v>
      </c>
      <c r="AE4" t="s">
        <v>141</v>
      </c>
      <c r="AF4" t="s">
        <v>141</v>
      </c>
      <c r="AG4" t="s">
        <v>141</v>
      </c>
      <c r="AH4" t="s">
        <v>141</v>
      </c>
      <c r="AI4" t="s">
        <v>141</v>
      </c>
      <c r="AJ4" t="s">
        <v>141</v>
      </c>
      <c r="AK4" t="s">
        <v>141</v>
      </c>
      <c r="AL4" t="s">
        <v>141</v>
      </c>
      <c r="AM4" t="s">
        <v>142</v>
      </c>
      <c r="AN4" t="s">
        <v>142</v>
      </c>
      <c r="AO4" t="s">
        <v>142</v>
      </c>
      <c r="AP4" t="s">
        <v>142</v>
      </c>
      <c r="AQ4" t="s">
        <v>142</v>
      </c>
      <c r="AR4" t="s">
        <v>142</v>
      </c>
      <c r="AS4" t="s">
        <v>142</v>
      </c>
      <c r="AT4" t="s">
        <v>142</v>
      </c>
      <c r="AU4" t="s">
        <v>143</v>
      </c>
      <c r="AV4" t="s">
        <v>143</v>
      </c>
      <c r="AW4" t="s">
        <v>143</v>
      </c>
      <c r="AX4" t="s">
        <v>143</v>
      </c>
      <c r="AY4" t="s">
        <v>143</v>
      </c>
      <c r="AZ4" t="s">
        <v>143</v>
      </c>
      <c r="BA4" t="s">
        <v>143</v>
      </c>
      <c r="BB4" t="s">
        <v>143</v>
      </c>
      <c r="BC4" t="s">
        <v>141</v>
      </c>
      <c r="BD4" t="s">
        <v>141</v>
      </c>
      <c r="BE4" t="s">
        <v>141</v>
      </c>
      <c r="BF4" t="s">
        <v>141</v>
      </c>
      <c r="BG4" t="s">
        <v>141</v>
      </c>
      <c r="BH4" t="s">
        <v>141</v>
      </c>
      <c r="BI4" t="s">
        <v>141</v>
      </c>
      <c r="BJ4" t="s">
        <v>141</v>
      </c>
      <c r="BK4" t="s">
        <v>142</v>
      </c>
      <c r="BL4" t="s">
        <v>142</v>
      </c>
      <c r="BM4" t="s">
        <v>142</v>
      </c>
      <c r="BN4" t="s">
        <v>142</v>
      </c>
      <c r="BO4" t="s">
        <v>142</v>
      </c>
      <c r="BP4" t="s">
        <v>142</v>
      </c>
      <c r="BQ4" t="s">
        <v>142</v>
      </c>
      <c r="BR4" t="s">
        <v>142</v>
      </c>
      <c r="BS4" t="s">
        <v>143</v>
      </c>
      <c r="BT4" t="s">
        <v>143</v>
      </c>
      <c r="BU4" t="s">
        <v>143</v>
      </c>
      <c r="BV4" t="s">
        <v>143</v>
      </c>
      <c r="BW4" t="s">
        <v>143</v>
      </c>
      <c r="BX4" t="s">
        <v>143</v>
      </c>
      <c r="BY4" t="s">
        <v>143</v>
      </c>
      <c r="BZ4" t="s">
        <v>143</v>
      </c>
      <c r="CA4" t="s">
        <v>140</v>
      </c>
    </row>
    <row r="5" spans="1:82" x14ac:dyDescent="0.25">
      <c r="H5" t="s">
        <v>457</v>
      </c>
      <c r="AD5" t="s">
        <v>139</v>
      </c>
      <c r="AE5" t="s">
        <v>137</v>
      </c>
      <c r="AF5" t="s">
        <v>137</v>
      </c>
      <c r="AG5" t="s">
        <v>137</v>
      </c>
      <c r="AH5" t="s">
        <v>137</v>
      </c>
      <c r="AI5" s="2" t="s">
        <v>138</v>
      </c>
      <c r="AJ5" s="2" t="s">
        <v>138</v>
      </c>
      <c r="AK5" s="2" t="s">
        <v>138</v>
      </c>
      <c r="AL5" s="2" t="s">
        <v>138</v>
      </c>
      <c r="AM5" t="s">
        <v>137</v>
      </c>
      <c r="AN5" t="s">
        <v>137</v>
      </c>
      <c r="AO5" t="s">
        <v>137</v>
      </c>
      <c r="AP5" t="s">
        <v>137</v>
      </c>
      <c r="AQ5" s="2" t="s">
        <v>138</v>
      </c>
      <c r="AR5" s="2" t="s">
        <v>138</v>
      </c>
      <c r="AS5" s="2" t="s">
        <v>138</v>
      </c>
      <c r="AT5" s="2" t="s">
        <v>138</v>
      </c>
      <c r="AU5" t="s">
        <v>137</v>
      </c>
      <c r="AV5" t="s">
        <v>137</v>
      </c>
      <c r="AW5" t="s">
        <v>137</v>
      </c>
      <c r="AX5" t="s">
        <v>137</v>
      </c>
      <c r="AY5" s="2" t="s">
        <v>138</v>
      </c>
      <c r="AZ5" s="2" t="s">
        <v>138</v>
      </c>
      <c r="BA5" s="2" t="s">
        <v>138</v>
      </c>
      <c r="BB5" s="2" t="s">
        <v>138</v>
      </c>
      <c r="BC5" s="5" t="s">
        <v>137</v>
      </c>
      <c r="BD5" s="5" t="s">
        <v>137</v>
      </c>
      <c r="BE5" s="5" t="s">
        <v>137</v>
      </c>
      <c r="BF5" s="5" t="s">
        <v>137</v>
      </c>
      <c r="BG5" s="16" t="s">
        <v>138</v>
      </c>
      <c r="BH5" s="16" t="s">
        <v>138</v>
      </c>
      <c r="BI5" s="16" t="s">
        <v>138</v>
      </c>
      <c r="BJ5" s="16" t="s">
        <v>138</v>
      </c>
      <c r="BK5" s="5" t="s">
        <v>137</v>
      </c>
      <c r="BL5" s="5" t="s">
        <v>137</v>
      </c>
      <c r="BM5" s="5" t="s">
        <v>137</v>
      </c>
      <c r="BN5" s="5" t="s">
        <v>137</v>
      </c>
      <c r="BO5" s="16" t="s">
        <v>138</v>
      </c>
      <c r="BP5" s="16" t="s">
        <v>138</v>
      </c>
      <c r="BQ5" s="16" t="s">
        <v>138</v>
      </c>
      <c r="BR5" s="16" t="s">
        <v>138</v>
      </c>
      <c r="BS5" s="5" t="s">
        <v>137</v>
      </c>
      <c r="BT5" s="5" t="s">
        <v>137</v>
      </c>
      <c r="BU5" s="5" t="s">
        <v>137</v>
      </c>
      <c r="BV5" s="5" t="s">
        <v>137</v>
      </c>
      <c r="BW5" s="16" t="s">
        <v>138</v>
      </c>
      <c r="BX5" s="16" t="s">
        <v>138</v>
      </c>
      <c r="BY5" s="16" t="s">
        <v>138</v>
      </c>
      <c r="BZ5" s="16" t="s">
        <v>138</v>
      </c>
      <c r="CA5" t="s">
        <v>139</v>
      </c>
    </row>
    <row r="6" spans="1:82" x14ac:dyDescent="0.25">
      <c r="AD6" t="s">
        <v>136</v>
      </c>
      <c r="AE6">
        <v>1774867</v>
      </c>
      <c r="AF6">
        <v>6951342</v>
      </c>
      <c r="AG6">
        <v>6310050</v>
      </c>
      <c r="AH6">
        <v>2621588</v>
      </c>
      <c r="AI6">
        <v>1332615</v>
      </c>
      <c r="AJ6">
        <v>2719800</v>
      </c>
      <c r="AK6">
        <v>5540540</v>
      </c>
      <c r="AL6">
        <v>5319529</v>
      </c>
      <c r="AM6">
        <v>5150409</v>
      </c>
      <c r="AN6">
        <v>5825441</v>
      </c>
      <c r="AO6">
        <v>5576963</v>
      </c>
      <c r="AP6">
        <v>6494095</v>
      </c>
      <c r="AQ6">
        <v>4096788</v>
      </c>
      <c r="AR6">
        <v>10736084</v>
      </c>
      <c r="AS6">
        <v>3991024</v>
      </c>
      <c r="AT6">
        <v>4308456</v>
      </c>
      <c r="AU6">
        <v>3372149</v>
      </c>
      <c r="AV6">
        <v>3983814</v>
      </c>
      <c r="AW6">
        <v>3870446</v>
      </c>
      <c r="AX6">
        <v>8396218</v>
      </c>
      <c r="AY6">
        <v>4376257</v>
      </c>
      <c r="AZ6">
        <v>6770446</v>
      </c>
      <c r="BA6">
        <v>2645062</v>
      </c>
      <c r="BB6">
        <v>664690</v>
      </c>
      <c r="CA6">
        <v>-3</v>
      </c>
      <c r="CB6">
        <v>0</v>
      </c>
      <c r="CC6">
        <v>3</v>
      </c>
      <c r="CD6" t="s">
        <v>450</v>
      </c>
    </row>
    <row r="7" spans="1:82" x14ac:dyDescent="0.25">
      <c r="A7" t="s">
        <v>50</v>
      </c>
      <c r="B7" t="s">
        <v>1</v>
      </c>
      <c r="C7" t="s">
        <v>2</v>
      </c>
      <c r="D7" t="s">
        <v>3</v>
      </c>
      <c r="E7" t="s">
        <v>4</v>
      </c>
      <c r="F7" t="s">
        <v>5</v>
      </c>
      <c r="G7" t="s">
        <v>6</v>
      </c>
      <c r="H7" t="s">
        <v>377</v>
      </c>
      <c r="I7" t="s">
        <v>7</v>
      </c>
      <c r="J7" t="s">
        <v>8</v>
      </c>
      <c r="K7" t="s">
        <v>9</v>
      </c>
      <c r="L7" t="s">
        <v>10</v>
      </c>
      <c r="M7" t="s">
        <v>11</v>
      </c>
      <c r="N7" t="s">
        <v>12</v>
      </c>
      <c r="O7" t="s">
        <v>13</v>
      </c>
      <c r="P7" t="s">
        <v>14</v>
      </c>
      <c r="Q7" t="s">
        <v>15</v>
      </c>
      <c r="R7" t="s">
        <v>16</v>
      </c>
      <c r="S7" t="s">
        <v>17</v>
      </c>
      <c r="T7" t="s">
        <v>18</v>
      </c>
      <c r="U7" t="s">
        <v>19</v>
      </c>
      <c r="V7" t="s">
        <v>20</v>
      </c>
      <c r="W7" t="s">
        <v>21</v>
      </c>
      <c r="X7" t="s">
        <v>22</v>
      </c>
      <c r="Y7" t="s">
        <v>23</v>
      </c>
      <c r="Z7" t="s">
        <v>24</v>
      </c>
      <c r="AA7" t="s">
        <v>25</v>
      </c>
      <c r="AB7" t="s">
        <v>26</v>
      </c>
      <c r="AC7" t="s">
        <v>27</v>
      </c>
      <c r="AD7" t="s">
        <v>448</v>
      </c>
      <c r="AE7" t="s">
        <v>61</v>
      </c>
      <c r="AF7" t="s">
        <v>293</v>
      </c>
      <c r="AG7" t="s">
        <v>294</v>
      </c>
      <c r="AH7" t="s">
        <v>295</v>
      </c>
      <c r="AI7" t="s">
        <v>296</v>
      </c>
      <c r="AJ7" t="s">
        <v>297</v>
      </c>
      <c r="AK7" t="s">
        <v>298</v>
      </c>
      <c r="AL7" t="s">
        <v>299</v>
      </c>
      <c r="AM7" t="s">
        <v>300</v>
      </c>
      <c r="AN7" t="s">
        <v>301</v>
      </c>
      <c r="AO7" t="s">
        <v>302</v>
      </c>
      <c r="AP7" t="s">
        <v>303</v>
      </c>
      <c r="AQ7" t="s">
        <v>304</v>
      </c>
      <c r="AR7" t="s">
        <v>305</v>
      </c>
      <c r="AS7" t="s">
        <v>306</v>
      </c>
      <c r="AT7" t="s">
        <v>307</v>
      </c>
      <c r="AU7" t="s">
        <v>308</v>
      </c>
      <c r="AV7" t="s">
        <v>309</v>
      </c>
      <c r="AW7" t="s">
        <v>310</v>
      </c>
      <c r="AX7" t="s">
        <v>311</v>
      </c>
      <c r="AY7" t="s">
        <v>312</v>
      </c>
      <c r="AZ7" t="s">
        <v>313</v>
      </c>
      <c r="BA7" t="s">
        <v>314</v>
      </c>
      <c r="BB7" t="s">
        <v>315</v>
      </c>
      <c r="BC7" t="s">
        <v>61</v>
      </c>
      <c r="BD7" t="s">
        <v>293</v>
      </c>
      <c r="BE7" t="s">
        <v>294</v>
      </c>
      <c r="BF7" t="s">
        <v>295</v>
      </c>
      <c r="BG7" t="s">
        <v>296</v>
      </c>
      <c r="BH7" t="s">
        <v>297</v>
      </c>
      <c r="BI7" t="s">
        <v>298</v>
      </c>
      <c r="BJ7" t="s">
        <v>299</v>
      </c>
      <c r="BK7" t="s">
        <v>300</v>
      </c>
      <c r="BL7" t="s">
        <v>301</v>
      </c>
      <c r="BM7" t="s">
        <v>302</v>
      </c>
      <c r="BN7" t="s">
        <v>303</v>
      </c>
      <c r="BO7" t="s">
        <v>304</v>
      </c>
      <c r="BP7" t="s">
        <v>305</v>
      </c>
      <c r="BQ7" t="s">
        <v>306</v>
      </c>
      <c r="BR7" t="s">
        <v>307</v>
      </c>
      <c r="BS7" t="s">
        <v>308</v>
      </c>
      <c r="BT7" t="s">
        <v>309</v>
      </c>
      <c r="BU7" t="s">
        <v>310</v>
      </c>
      <c r="BV7" t="s">
        <v>311</v>
      </c>
      <c r="BW7" t="s">
        <v>312</v>
      </c>
      <c r="BX7" t="s">
        <v>313</v>
      </c>
      <c r="BY7" t="s">
        <v>314</v>
      </c>
      <c r="BZ7" t="s">
        <v>315</v>
      </c>
      <c r="CA7" t="s">
        <v>451</v>
      </c>
      <c r="CB7" t="s">
        <v>452</v>
      </c>
      <c r="CC7" t="s">
        <v>453</v>
      </c>
      <c r="CD7" t="s">
        <v>449</v>
      </c>
    </row>
    <row r="8" spans="1:82" x14ac:dyDescent="0.25">
      <c r="A8">
        <v>28659</v>
      </c>
      <c r="B8" t="s">
        <v>316</v>
      </c>
      <c r="C8">
        <v>4797.5492539999996</v>
      </c>
      <c r="D8">
        <v>-1.391194907</v>
      </c>
      <c r="E8">
        <v>0.44353416499999998</v>
      </c>
      <c r="F8">
        <v>92.696777909999994</v>
      </c>
      <c r="G8" s="7">
        <v>5.7700000000000002E-20</v>
      </c>
      <c r="H8" s="7">
        <v>1.3599999999999999E-16</v>
      </c>
      <c r="I8" t="s">
        <v>317</v>
      </c>
      <c r="J8" t="s">
        <v>378</v>
      </c>
      <c r="K8">
        <v>1661</v>
      </c>
      <c r="L8">
        <v>339887</v>
      </c>
      <c r="M8">
        <v>660.86099999999999</v>
      </c>
      <c r="N8">
        <v>336476</v>
      </c>
      <c r="O8">
        <v>0.91200000000000003</v>
      </c>
      <c r="P8" t="s">
        <v>36</v>
      </c>
      <c r="Q8" t="s">
        <v>379</v>
      </c>
      <c r="R8">
        <v>171597</v>
      </c>
      <c r="S8">
        <v>1.2E-2</v>
      </c>
      <c r="T8">
        <v>22</v>
      </c>
      <c r="U8" t="s">
        <v>49</v>
      </c>
      <c r="V8">
        <v>35.112000000000002</v>
      </c>
      <c r="W8">
        <v>2652</v>
      </c>
      <c r="X8">
        <v>1382</v>
      </c>
      <c r="Y8">
        <v>3944</v>
      </c>
      <c r="Z8">
        <v>99195</v>
      </c>
      <c r="AA8">
        <v>217414</v>
      </c>
      <c r="AB8">
        <v>8362</v>
      </c>
      <c r="AC8">
        <v>6938</v>
      </c>
      <c r="AD8">
        <v>339887</v>
      </c>
      <c r="AE8">
        <v>3315</v>
      </c>
      <c r="AF8">
        <v>6780</v>
      </c>
      <c r="AG8">
        <v>3351</v>
      </c>
      <c r="AH8">
        <v>367</v>
      </c>
      <c r="AI8">
        <v>883</v>
      </c>
      <c r="AJ8">
        <v>6189</v>
      </c>
      <c r="AK8">
        <v>2954</v>
      </c>
      <c r="AL8">
        <v>1518</v>
      </c>
      <c r="AM8">
        <v>46368</v>
      </c>
      <c r="AN8">
        <v>3201</v>
      </c>
      <c r="AO8">
        <v>2699</v>
      </c>
      <c r="AP8">
        <v>1860</v>
      </c>
      <c r="AQ8">
        <v>8980</v>
      </c>
      <c r="AR8">
        <v>15370</v>
      </c>
      <c r="AS8">
        <v>913</v>
      </c>
      <c r="AT8">
        <v>508</v>
      </c>
      <c r="AU8">
        <v>6093</v>
      </c>
      <c r="AV8">
        <v>2922</v>
      </c>
      <c r="AW8">
        <v>1273</v>
      </c>
      <c r="AX8">
        <v>411</v>
      </c>
      <c r="AY8">
        <v>16295</v>
      </c>
      <c r="AZ8">
        <v>11503</v>
      </c>
      <c r="BA8">
        <v>1220</v>
      </c>
      <c r="BB8">
        <v>87</v>
      </c>
      <c r="BC8" s="3">
        <f>AE8/AE$6*20000000</f>
        <v>37354.911663803541</v>
      </c>
      <c r="BD8" s="3">
        <f t="shared" ref="BD8:BD56" si="0">AF8/AF$6*20000000</f>
        <v>19507.024686743942</v>
      </c>
      <c r="BE8" s="3">
        <f t="shared" ref="BE8:BE56" si="1">AG8/AG$6*20000000</f>
        <v>10621.151971854422</v>
      </c>
      <c r="BF8" s="3">
        <f t="shared" ref="BF8:BF56" si="2">AH8/AH$6*20000000</f>
        <v>2799.8297215275625</v>
      </c>
      <c r="BG8" s="3">
        <f t="shared" ref="BG8:BG56" si="3">AI8/AI$6*20000000</f>
        <v>13252.139590204224</v>
      </c>
      <c r="BH8" s="3">
        <f t="shared" ref="BH8:BH56" si="4">AJ8/AJ$6*20000000</f>
        <v>45510.699316126185</v>
      </c>
      <c r="BI8" s="3">
        <f t="shared" ref="BI8:BI56" si="5">AK8/AK$6*20000000</f>
        <v>10663.220552509323</v>
      </c>
      <c r="BJ8" s="3">
        <f t="shared" ref="BJ8:BJ56" si="6">AL8/AL$6*20000000</f>
        <v>5707.2722039864802</v>
      </c>
      <c r="BK8" s="3">
        <f t="shared" ref="BK8:BK56" si="7">AM8/AM$6*20000000</f>
        <v>180055.60335111251</v>
      </c>
      <c r="BL8" s="3">
        <f t="shared" ref="BL8:BL56" si="8">AN8/AN$6*20000000</f>
        <v>10989.725928045618</v>
      </c>
      <c r="BM8" s="3">
        <f t="shared" ref="BM8:BM56" si="9">AO8/AO$6*20000000</f>
        <v>9679.1031247652172</v>
      </c>
      <c r="BN8" s="3">
        <f t="shared" ref="BN8:BN56" si="10">AP8/AP$6*20000000</f>
        <v>5728.2808459069356</v>
      </c>
      <c r="BO8" s="3">
        <f t="shared" ref="BO8:BO56" si="11">AQ8/AQ$6*20000000</f>
        <v>43839.222337108971</v>
      </c>
      <c r="BP8" s="3">
        <f t="shared" ref="BP8:BP56" si="12">AR8/AR$6*20000000</f>
        <v>28632.413829847086</v>
      </c>
      <c r="BQ8" s="3">
        <f t="shared" ref="BQ8:BQ56" si="13">AS8/AS$6*20000000</f>
        <v>4575.2668989211788</v>
      </c>
      <c r="BR8" s="3">
        <f t="shared" ref="BR8:BR56" si="14">AT8/AT$6*20000000</f>
        <v>2358.15336166831</v>
      </c>
      <c r="BS8" s="3">
        <f t="shared" ref="BS8:BS56" si="15">AU8/AU$6*20000000</f>
        <v>36137.193226040727</v>
      </c>
      <c r="BT8" s="3">
        <f t="shared" ref="BT8:BT56" si="16">AV8/AV$6*20000000</f>
        <v>14669.359563473596</v>
      </c>
      <c r="BU8" s="3">
        <f t="shared" ref="BU8:BU56" si="17">AW8/AW$6*20000000</f>
        <v>6578.0532786144031</v>
      </c>
      <c r="BV8" s="3">
        <f t="shared" ref="BV8:BV56" si="18">AX8/AX$6*20000000</f>
        <v>979.01221716730083</v>
      </c>
      <c r="BW8" s="3">
        <f t="shared" ref="BW8:BW56" si="19">AY8/AY$6*20000000</f>
        <v>74470.032267300572</v>
      </c>
      <c r="BX8" s="3">
        <f t="shared" ref="BX8:BX56" si="20">AZ8/AZ$6*20000000</f>
        <v>33980.036174869427</v>
      </c>
      <c r="BY8" s="3">
        <f t="shared" ref="BY8:BY56" si="21">BA8/BA$6*20000000</f>
        <v>9224.7365090118874</v>
      </c>
      <c r="BZ8" s="3">
        <f t="shared" ref="BZ8:BZ56" si="22">BB8/BB$6*20000000</f>
        <v>2617.7616633317789</v>
      </c>
      <c r="CA8" s="15">
        <f t="shared" ref="CA8:CA34" si="23">AVERAGE(BC8,BG8,BK8,BO8,BS8,BW8)/AVERAGE($BF8,$BJ8,$BN8,$BR8,$BV8,$BZ8)</f>
        <v>19.073956872201897</v>
      </c>
      <c r="CB8" s="15">
        <f t="shared" ref="CB8:CB34" si="24">AVERAGE(BD8,BH8,BL8,BP8,BT8,BX8)/AVERAGE($BF8,$BJ8,$BN8,$BR8,$BV8,$BZ8)</f>
        <v>7.5922192079240016</v>
      </c>
      <c r="CC8" s="15">
        <f t="shared" ref="CC8:CC34" si="25">AVERAGE(BE8,BI8,BM8,BQ8,BU8,BY8)/AVERAGE($BF8,$BJ8,$BN8,$BR8,$BV8,$BZ8)</f>
        <v>2.54287984192035</v>
      </c>
      <c r="CD8">
        <f>PEARSON($CA$6:$CC$6,CA8:CC8)</f>
        <v>-0.97568232426824764</v>
      </c>
    </row>
    <row r="9" spans="1:82" x14ac:dyDescent="0.25">
      <c r="A9">
        <v>25263</v>
      </c>
      <c r="B9" t="s">
        <v>318</v>
      </c>
      <c r="C9">
        <v>143.76406710000001</v>
      </c>
      <c r="D9">
        <v>-1.6199127289999999</v>
      </c>
      <c r="E9">
        <v>0.42345151199999997</v>
      </c>
      <c r="F9">
        <v>79.274462549999996</v>
      </c>
      <c r="G9" s="7">
        <v>4.3900000000000002E-17</v>
      </c>
      <c r="H9" s="7">
        <v>5.1600000000000002E-14</v>
      </c>
      <c r="I9" s="5" t="s">
        <v>319</v>
      </c>
      <c r="J9" t="s">
        <v>380</v>
      </c>
      <c r="K9">
        <v>811</v>
      </c>
      <c r="L9">
        <v>147845</v>
      </c>
      <c r="M9">
        <v>287.46300000000002</v>
      </c>
      <c r="N9">
        <v>147343</v>
      </c>
      <c r="O9">
        <v>0.66100000000000003</v>
      </c>
      <c r="P9" t="s">
        <v>47</v>
      </c>
      <c r="Q9" t="s">
        <v>381</v>
      </c>
      <c r="R9">
        <v>18926</v>
      </c>
      <c r="S9">
        <v>0.03</v>
      </c>
      <c r="T9">
        <v>21</v>
      </c>
      <c r="U9" t="s">
        <v>49</v>
      </c>
      <c r="V9">
        <v>1329.9</v>
      </c>
      <c r="W9">
        <v>1207</v>
      </c>
      <c r="X9">
        <v>544</v>
      </c>
      <c r="Y9">
        <v>3648</v>
      </c>
      <c r="Z9">
        <v>119615</v>
      </c>
      <c r="AA9">
        <v>8845</v>
      </c>
      <c r="AB9">
        <v>2226</v>
      </c>
      <c r="AC9">
        <v>11760</v>
      </c>
      <c r="AD9">
        <v>147845</v>
      </c>
      <c r="AE9">
        <v>257</v>
      </c>
      <c r="AF9">
        <v>183</v>
      </c>
      <c r="AG9">
        <v>98</v>
      </c>
      <c r="AH9">
        <v>10</v>
      </c>
      <c r="AI9">
        <v>42</v>
      </c>
      <c r="AJ9">
        <v>102</v>
      </c>
      <c r="AK9">
        <v>88</v>
      </c>
      <c r="AL9">
        <v>35</v>
      </c>
      <c r="AM9">
        <v>1063</v>
      </c>
      <c r="AN9">
        <v>74</v>
      </c>
      <c r="AO9">
        <v>51</v>
      </c>
      <c r="AP9">
        <v>60</v>
      </c>
      <c r="AQ9">
        <v>110</v>
      </c>
      <c r="AR9">
        <v>402</v>
      </c>
      <c r="AS9">
        <v>46</v>
      </c>
      <c r="AT9">
        <v>15</v>
      </c>
      <c r="AU9">
        <v>255</v>
      </c>
      <c r="AV9">
        <v>133</v>
      </c>
      <c r="AW9">
        <v>72</v>
      </c>
      <c r="AX9">
        <v>96</v>
      </c>
      <c r="AY9">
        <v>381</v>
      </c>
      <c r="AZ9">
        <v>309</v>
      </c>
      <c r="BA9">
        <v>28</v>
      </c>
      <c r="BB9">
        <v>10</v>
      </c>
      <c r="BC9" s="3">
        <f t="shared" ref="BC9:BC56" si="26">AE9/AE$6*20000000</f>
        <v>2895.9916433174994</v>
      </c>
      <c r="BD9" s="3">
        <f t="shared" si="0"/>
        <v>526.5170380050356</v>
      </c>
      <c r="BE9" s="3">
        <f t="shared" si="1"/>
        <v>310.6156052646175</v>
      </c>
      <c r="BF9" s="3">
        <f t="shared" si="2"/>
        <v>76.289638188761927</v>
      </c>
      <c r="BG9" s="3">
        <f t="shared" si="3"/>
        <v>630.3395954570525</v>
      </c>
      <c r="BH9" s="3">
        <f t="shared" si="4"/>
        <v>750.05515111405248</v>
      </c>
      <c r="BI9" s="3">
        <f t="shared" si="5"/>
        <v>317.65856757644565</v>
      </c>
      <c r="BJ9" s="3">
        <f t="shared" si="6"/>
        <v>131.59059758862111</v>
      </c>
      <c r="BK9" s="3">
        <f t="shared" si="7"/>
        <v>4127.8275181640911</v>
      </c>
      <c r="BL9" s="3">
        <f t="shared" si="8"/>
        <v>254.05801895513144</v>
      </c>
      <c r="BM9" s="3">
        <f t="shared" si="9"/>
        <v>182.89524244647131</v>
      </c>
      <c r="BN9" s="3">
        <f t="shared" si="10"/>
        <v>184.78325309377212</v>
      </c>
      <c r="BO9" s="3">
        <f t="shared" si="11"/>
        <v>537.0060642630275</v>
      </c>
      <c r="BP9" s="3">
        <f t="shared" si="12"/>
        <v>748.87640595956589</v>
      </c>
      <c r="BQ9" s="3">
        <f t="shared" si="13"/>
        <v>230.51728077806598</v>
      </c>
      <c r="BR9" s="3">
        <f t="shared" si="14"/>
        <v>69.630512647686317</v>
      </c>
      <c r="BS9" s="3">
        <f t="shared" si="15"/>
        <v>1512.3886874512366</v>
      </c>
      <c r="BT9" s="3">
        <f t="shared" si="16"/>
        <v>667.70185555851754</v>
      </c>
      <c r="BU9" s="3">
        <f t="shared" si="17"/>
        <v>372.05014615886648</v>
      </c>
      <c r="BV9" s="3">
        <f t="shared" si="18"/>
        <v>228.6743864916323</v>
      </c>
      <c r="BW9" s="3">
        <f t="shared" si="19"/>
        <v>1741.214010054711</v>
      </c>
      <c r="BX9" s="3">
        <f t="shared" si="20"/>
        <v>912.79067878246133</v>
      </c>
      <c r="BY9" s="3">
        <f t="shared" si="21"/>
        <v>211.71526414125643</v>
      </c>
      <c r="BZ9" s="3">
        <f t="shared" si="22"/>
        <v>300.8921452105493</v>
      </c>
      <c r="CA9" s="15">
        <f t="shared" si="23"/>
        <v>11.538686272293992</v>
      </c>
      <c r="CB9" s="15">
        <f t="shared" si="24"/>
        <v>3.8916753102773316</v>
      </c>
      <c r="CC9" s="15">
        <f t="shared" si="25"/>
        <v>1.6387909911962522</v>
      </c>
      <c r="CD9">
        <f t="shared" ref="CD9:CD65" si="27">PEARSON($CA$6:$CC$6,CA9:CC9)</f>
        <v>-0.95391362359221665</v>
      </c>
    </row>
    <row r="10" spans="1:82" x14ac:dyDescent="0.25">
      <c r="A10">
        <v>19048</v>
      </c>
      <c r="B10" t="s">
        <v>233</v>
      </c>
      <c r="C10">
        <v>20186.25058</v>
      </c>
      <c r="D10">
        <v>-0.77190423600000002</v>
      </c>
      <c r="E10">
        <v>0.58110931700000001</v>
      </c>
      <c r="F10">
        <v>66.030772189999993</v>
      </c>
      <c r="G10" s="7">
        <v>3.02E-14</v>
      </c>
      <c r="H10" s="7">
        <v>1.41E-11</v>
      </c>
      <c r="I10" s="5" t="s">
        <v>234</v>
      </c>
      <c r="J10" t="s">
        <v>235</v>
      </c>
      <c r="K10">
        <v>1023</v>
      </c>
      <c r="L10">
        <v>4870382</v>
      </c>
      <c r="M10">
        <v>9469.75</v>
      </c>
      <c r="N10">
        <v>4853665</v>
      </c>
      <c r="O10">
        <v>0.53600000000000003</v>
      </c>
      <c r="P10" t="s">
        <v>47</v>
      </c>
      <c r="Q10" t="s">
        <v>236</v>
      </c>
      <c r="R10">
        <v>1419247</v>
      </c>
      <c r="S10">
        <v>2E-3</v>
      </c>
      <c r="T10">
        <v>21</v>
      </c>
      <c r="U10" t="s">
        <v>49</v>
      </c>
      <c r="V10">
        <v>18630.8</v>
      </c>
      <c r="W10">
        <v>18367</v>
      </c>
      <c r="X10">
        <v>5734</v>
      </c>
      <c r="Y10">
        <v>58590</v>
      </c>
      <c r="Z10">
        <v>4616375</v>
      </c>
      <c r="AA10">
        <v>138530</v>
      </c>
      <c r="AB10">
        <v>14141</v>
      </c>
      <c r="AC10">
        <v>18645</v>
      </c>
      <c r="AD10">
        <v>4870382</v>
      </c>
      <c r="AE10">
        <v>26982</v>
      </c>
      <c r="AF10">
        <v>28049</v>
      </c>
      <c r="AG10">
        <v>4748</v>
      </c>
      <c r="AH10">
        <v>1128</v>
      </c>
      <c r="AI10">
        <v>11373</v>
      </c>
      <c r="AJ10">
        <v>38851</v>
      </c>
      <c r="AK10">
        <v>21341</v>
      </c>
      <c r="AL10">
        <v>2858</v>
      </c>
      <c r="AM10">
        <v>59094</v>
      </c>
      <c r="AN10">
        <v>7401</v>
      </c>
      <c r="AO10">
        <v>4021</v>
      </c>
      <c r="AP10">
        <v>4461</v>
      </c>
      <c r="AQ10">
        <v>4816</v>
      </c>
      <c r="AR10">
        <v>29398</v>
      </c>
      <c r="AS10">
        <v>1594</v>
      </c>
      <c r="AT10">
        <v>1056</v>
      </c>
      <c r="AU10">
        <v>27979</v>
      </c>
      <c r="AV10">
        <v>24211</v>
      </c>
      <c r="AW10">
        <v>3283</v>
      </c>
      <c r="AX10">
        <v>2606</v>
      </c>
      <c r="AY10">
        <v>100638</v>
      </c>
      <c r="AZ10">
        <v>107061</v>
      </c>
      <c r="BA10">
        <v>4400</v>
      </c>
      <c r="BB10">
        <v>246</v>
      </c>
      <c r="BC10" s="3">
        <f t="shared" si="26"/>
        <v>304045.3171984154</v>
      </c>
      <c r="BD10" s="3">
        <f t="shared" si="0"/>
        <v>80700.963928979472</v>
      </c>
      <c r="BE10" s="3">
        <f t="shared" si="1"/>
        <v>15049.009120371471</v>
      </c>
      <c r="BF10" s="3">
        <f t="shared" si="2"/>
        <v>8605.4711876923448</v>
      </c>
      <c r="BG10" s="3">
        <f t="shared" si="3"/>
        <v>170686.95759840615</v>
      </c>
      <c r="BH10" s="3">
        <f t="shared" si="4"/>
        <v>285690.12427384366</v>
      </c>
      <c r="BI10" s="3">
        <f t="shared" si="5"/>
        <v>77035.812393737797</v>
      </c>
      <c r="BJ10" s="3">
        <f t="shared" si="6"/>
        <v>10745.312225950831</v>
      </c>
      <c r="BK10" s="3">
        <f t="shared" si="7"/>
        <v>229473.03796649937</v>
      </c>
      <c r="BL10" s="3">
        <f t="shared" si="8"/>
        <v>25409.235111985516</v>
      </c>
      <c r="BM10" s="3">
        <f t="shared" si="9"/>
        <v>14420.034703475709</v>
      </c>
      <c r="BN10" s="3">
        <f t="shared" si="10"/>
        <v>13738.634867521958</v>
      </c>
      <c r="BO10" s="3">
        <f t="shared" si="11"/>
        <v>23511.101868097641</v>
      </c>
      <c r="BP10" s="3">
        <f t="shared" si="12"/>
        <v>54764.847219898802</v>
      </c>
      <c r="BQ10" s="3">
        <f t="shared" si="13"/>
        <v>7987.9249034834165</v>
      </c>
      <c r="BR10" s="3">
        <f t="shared" si="14"/>
        <v>4901.988090397117</v>
      </c>
      <c r="BS10" s="3">
        <f t="shared" si="15"/>
        <v>165941.65916156137</v>
      </c>
      <c r="BT10" s="3">
        <f t="shared" si="16"/>
        <v>121546.83928516744</v>
      </c>
      <c r="BU10" s="3">
        <f t="shared" si="17"/>
        <v>16964.45319221609</v>
      </c>
      <c r="BV10" s="3">
        <f t="shared" si="18"/>
        <v>6207.5567833041014</v>
      </c>
      <c r="BW10" s="3">
        <f t="shared" si="19"/>
        <v>459927.28489208926</v>
      </c>
      <c r="BX10" s="3">
        <f t="shared" si="20"/>
        <v>316259.81508456019</v>
      </c>
      <c r="BY10" s="3">
        <f t="shared" si="21"/>
        <v>33269.541507911723</v>
      </c>
      <c r="BZ10" s="3">
        <f t="shared" si="22"/>
        <v>7401.9467721795118</v>
      </c>
      <c r="CA10" s="15">
        <f t="shared" si="23"/>
        <v>26.231811814923198</v>
      </c>
      <c r="CB10" s="15">
        <f t="shared" si="24"/>
        <v>17.138686626936877</v>
      </c>
      <c r="CC10" s="15">
        <f t="shared" si="25"/>
        <v>3.1923230821721829</v>
      </c>
      <c r="CD10">
        <f t="shared" si="27"/>
        <v>-0.99268556222342108</v>
      </c>
    </row>
    <row r="11" spans="1:82" x14ac:dyDescent="0.25">
      <c r="A11">
        <v>5240</v>
      </c>
      <c r="B11" t="s">
        <v>320</v>
      </c>
      <c r="C11">
        <v>32.12982083</v>
      </c>
      <c r="D11">
        <v>-1.87268127</v>
      </c>
      <c r="E11">
        <v>0.73886727399999996</v>
      </c>
      <c r="F11">
        <v>62.407078130000002</v>
      </c>
      <c r="G11" s="7">
        <v>1.7999999999999999E-13</v>
      </c>
      <c r="H11" s="7">
        <v>6.8799999999999998E-11</v>
      </c>
      <c r="I11" s="5" t="s">
        <v>321</v>
      </c>
      <c r="J11" t="s">
        <v>382</v>
      </c>
      <c r="K11">
        <v>158</v>
      </c>
      <c r="L11">
        <v>397666</v>
      </c>
      <c r="M11">
        <v>773.20399999999995</v>
      </c>
      <c r="N11">
        <v>3727</v>
      </c>
      <c r="O11">
        <v>1</v>
      </c>
      <c r="P11" t="s">
        <v>36</v>
      </c>
      <c r="Q11" t="s">
        <v>383</v>
      </c>
      <c r="R11">
        <v>347507</v>
      </c>
      <c r="S11">
        <v>1E-3</v>
      </c>
      <c r="T11">
        <v>21</v>
      </c>
      <c r="U11" t="s">
        <v>90</v>
      </c>
      <c r="V11">
        <v>-1</v>
      </c>
      <c r="W11">
        <v>425</v>
      </c>
      <c r="X11">
        <v>13</v>
      </c>
      <c r="Y11">
        <v>3562</v>
      </c>
      <c r="Z11">
        <v>388495</v>
      </c>
      <c r="AA11">
        <v>4485</v>
      </c>
      <c r="AB11">
        <v>659</v>
      </c>
      <c r="AC11">
        <v>27</v>
      </c>
      <c r="AD11">
        <v>397666</v>
      </c>
      <c r="AE11">
        <v>31</v>
      </c>
      <c r="AF11">
        <v>71</v>
      </c>
      <c r="AG11">
        <v>6</v>
      </c>
      <c r="AH11">
        <v>0</v>
      </c>
      <c r="AI11">
        <v>3</v>
      </c>
      <c r="AJ11">
        <v>33</v>
      </c>
      <c r="AK11">
        <v>11</v>
      </c>
      <c r="AL11">
        <v>9</v>
      </c>
      <c r="AM11">
        <v>270</v>
      </c>
      <c r="AN11">
        <v>7</v>
      </c>
      <c r="AO11">
        <v>0</v>
      </c>
      <c r="AP11">
        <v>0</v>
      </c>
      <c r="AQ11">
        <v>73</v>
      </c>
      <c r="AR11">
        <v>40</v>
      </c>
      <c r="AS11">
        <v>0</v>
      </c>
      <c r="AT11">
        <v>1</v>
      </c>
      <c r="AU11">
        <v>60</v>
      </c>
      <c r="AV11">
        <v>12</v>
      </c>
      <c r="AW11">
        <v>0</v>
      </c>
      <c r="AX11">
        <v>0</v>
      </c>
      <c r="AY11">
        <v>186</v>
      </c>
      <c r="AZ11">
        <v>95</v>
      </c>
      <c r="BA11">
        <v>4</v>
      </c>
      <c r="BB11">
        <v>1</v>
      </c>
      <c r="BC11" s="3">
        <f t="shared" si="26"/>
        <v>349.32194919393964</v>
      </c>
      <c r="BD11" s="3">
        <f t="shared" si="0"/>
        <v>204.2771021768171</v>
      </c>
      <c r="BE11" s="3">
        <f t="shared" si="1"/>
        <v>19.017281954976585</v>
      </c>
      <c r="BF11" s="3">
        <f t="shared" si="2"/>
        <v>0</v>
      </c>
      <c r="BG11" s="3">
        <f t="shared" si="3"/>
        <v>45.02425681836089</v>
      </c>
      <c r="BH11" s="3">
        <f t="shared" si="4"/>
        <v>242.66490183101698</v>
      </c>
      <c r="BI11" s="3">
        <f t="shared" si="5"/>
        <v>39.707320947055706</v>
      </c>
      <c r="BJ11" s="3">
        <f t="shared" si="6"/>
        <v>33.837582237073995</v>
      </c>
      <c r="BK11" s="3">
        <f t="shared" si="7"/>
        <v>1048.4604232401737</v>
      </c>
      <c r="BL11" s="3">
        <f t="shared" si="8"/>
        <v>24.032515306566488</v>
      </c>
      <c r="BM11" s="3">
        <f t="shared" si="9"/>
        <v>0</v>
      </c>
      <c r="BN11" s="3">
        <f t="shared" si="10"/>
        <v>0</v>
      </c>
      <c r="BO11" s="3">
        <f t="shared" si="11"/>
        <v>356.37675173819099</v>
      </c>
      <c r="BP11" s="3">
        <f t="shared" si="12"/>
        <v>74.515065269608542</v>
      </c>
      <c r="BQ11" s="3">
        <f t="shared" si="13"/>
        <v>0</v>
      </c>
      <c r="BR11" s="3">
        <f t="shared" si="14"/>
        <v>4.6420341765124213</v>
      </c>
      <c r="BS11" s="3">
        <f t="shared" si="15"/>
        <v>355.85616175323213</v>
      </c>
      <c r="BT11" s="3">
        <f t="shared" si="16"/>
        <v>60.243776441370002</v>
      </c>
      <c r="BU11" s="3">
        <f t="shared" si="17"/>
        <v>0</v>
      </c>
      <c r="BV11" s="3">
        <f t="shared" si="18"/>
        <v>0</v>
      </c>
      <c r="BW11" s="3">
        <f t="shared" si="19"/>
        <v>850.04148522355979</v>
      </c>
      <c r="BX11" s="3">
        <f t="shared" si="20"/>
        <v>280.63143846062724</v>
      </c>
      <c r="BY11" s="3">
        <f t="shared" si="21"/>
        <v>30.245037734465203</v>
      </c>
      <c r="BZ11" s="3">
        <f t="shared" si="22"/>
        <v>30.089214521054927</v>
      </c>
      <c r="CA11" s="15">
        <f t="shared" si="23"/>
        <v>43.825758540813531</v>
      </c>
      <c r="CB11" s="15">
        <f t="shared" si="24"/>
        <v>12.926643015554315</v>
      </c>
      <c r="CC11" s="15">
        <f t="shared" si="25"/>
        <v>1.2975230789817878</v>
      </c>
      <c r="CD11">
        <f t="shared" si="27"/>
        <v>-0.96744360764247583</v>
      </c>
    </row>
    <row r="12" spans="1:82" x14ac:dyDescent="0.25">
      <c r="A12">
        <v>19786</v>
      </c>
      <c r="B12" t="s">
        <v>322</v>
      </c>
      <c r="C12">
        <v>107.1391461</v>
      </c>
      <c r="D12">
        <v>-1.2562063960000001</v>
      </c>
      <c r="E12">
        <v>0.44838920799999998</v>
      </c>
      <c r="F12">
        <v>60.023178469999998</v>
      </c>
      <c r="G12" s="7">
        <v>5.8100000000000005E-13</v>
      </c>
      <c r="H12" s="7">
        <v>1.96E-10</v>
      </c>
      <c r="I12" s="5" t="s">
        <v>323</v>
      </c>
      <c r="J12" t="s">
        <v>384</v>
      </c>
      <c r="K12">
        <v>894</v>
      </c>
      <c r="L12">
        <v>207907</v>
      </c>
      <c r="M12">
        <v>404.245</v>
      </c>
      <c r="N12">
        <v>206981</v>
      </c>
      <c r="O12">
        <v>0.15</v>
      </c>
      <c r="P12" t="s">
        <v>88</v>
      </c>
      <c r="Q12" t="s">
        <v>385</v>
      </c>
      <c r="R12">
        <v>136057</v>
      </c>
      <c r="S12">
        <v>1.4E-2</v>
      </c>
      <c r="T12">
        <v>21</v>
      </c>
      <c r="U12" t="s">
        <v>49</v>
      </c>
      <c r="V12">
        <v>2232.6999999999998</v>
      </c>
      <c r="W12">
        <v>2652</v>
      </c>
      <c r="X12">
        <v>866</v>
      </c>
      <c r="Y12">
        <v>1625</v>
      </c>
      <c r="Z12">
        <v>186281</v>
      </c>
      <c r="AA12">
        <v>5302</v>
      </c>
      <c r="AB12">
        <v>901</v>
      </c>
      <c r="AC12">
        <v>10280</v>
      </c>
      <c r="AD12">
        <v>207907</v>
      </c>
      <c r="AE12">
        <v>74</v>
      </c>
      <c r="AF12">
        <v>291</v>
      </c>
      <c r="AG12">
        <v>166</v>
      </c>
      <c r="AH12">
        <v>12</v>
      </c>
      <c r="AI12">
        <v>25</v>
      </c>
      <c r="AJ12">
        <v>104</v>
      </c>
      <c r="AK12">
        <v>96</v>
      </c>
      <c r="AL12">
        <v>52</v>
      </c>
      <c r="AM12">
        <v>610</v>
      </c>
      <c r="AN12">
        <v>52</v>
      </c>
      <c r="AO12">
        <v>25</v>
      </c>
      <c r="AP12">
        <v>47</v>
      </c>
      <c r="AQ12">
        <v>227</v>
      </c>
      <c r="AR12">
        <v>287</v>
      </c>
      <c r="AS12">
        <v>7</v>
      </c>
      <c r="AT12">
        <v>20</v>
      </c>
      <c r="AU12">
        <v>210</v>
      </c>
      <c r="AV12">
        <v>87</v>
      </c>
      <c r="AW12">
        <v>60</v>
      </c>
      <c r="AX12">
        <v>32</v>
      </c>
      <c r="AY12">
        <v>391</v>
      </c>
      <c r="AZ12">
        <v>247</v>
      </c>
      <c r="BA12">
        <v>16</v>
      </c>
      <c r="BB12">
        <v>8</v>
      </c>
      <c r="BC12" s="3">
        <f t="shared" si="26"/>
        <v>833.86529807585589</v>
      </c>
      <c r="BD12" s="3">
        <f t="shared" si="0"/>
        <v>837.24840469653202</v>
      </c>
      <c r="BE12" s="3">
        <f t="shared" si="1"/>
        <v>526.14480075435222</v>
      </c>
      <c r="BF12" s="3">
        <f t="shared" si="2"/>
        <v>91.547565826514301</v>
      </c>
      <c r="BG12" s="3">
        <f t="shared" si="3"/>
        <v>375.20214015300741</v>
      </c>
      <c r="BH12" s="3">
        <f t="shared" si="4"/>
        <v>764.76211486138686</v>
      </c>
      <c r="BI12" s="3">
        <f t="shared" si="5"/>
        <v>346.53661917430429</v>
      </c>
      <c r="BJ12" s="3">
        <f t="shared" si="6"/>
        <v>195.50603070309421</v>
      </c>
      <c r="BK12" s="3">
        <f t="shared" si="7"/>
        <v>2368.7439191722442</v>
      </c>
      <c r="BL12" s="3">
        <f t="shared" si="8"/>
        <v>178.52725656306535</v>
      </c>
      <c r="BM12" s="3">
        <f t="shared" si="9"/>
        <v>89.65453061101536</v>
      </c>
      <c r="BN12" s="3">
        <f t="shared" si="10"/>
        <v>144.74688159012149</v>
      </c>
      <c r="BO12" s="3">
        <f t="shared" si="11"/>
        <v>1108.1852417064295</v>
      </c>
      <c r="BP12" s="3">
        <f t="shared" si="12"/>
        <v>534.64559330944132</v>
      </c>
      <c r="BQ12" s="3">
        <f t="shared" si="13"/>
        <v>35.078716640140478</v>
      </c>
      <c r="BR12" s="3">
        <f t="shared" si="14"/>
        <v>92.840683530248427</v>
      </c>
      <c r="BS12" s="3">
        <f t="shared" si="15"/>
        <v>1245.4965661363126</v>
      </c>
      <c r="BT12" s="3">
        <f t="shared" si="16"/>
        <v>436.76737919993252</v>
      </c>
      <c r="BU12" s="3">
        <f t="shared" si="17"/>
        <v>310.04178846572205</v>
      </c>
      <c r="BV12" s="3">
        <f t="shared" si="18"/>
        <v>76.224795497210778</v>
      </c>
      <c r="BW12" s="3">
        <f t="shared" si="19"/>
        <v>1786.9151651742573</v>
      </c>
      <c r="BX12" s="3">
        <f t="shared" si="20"/>
        <v>729.64173999763091</v>
      </c>
      <c r="BY12" s="3">
        <f t="shared" si="21"/>
        <v>120.98015093786081</v>
      </c>
      <c r="BZ12" s="3">
        <f t="shared" si="22"/>
        <v>240.71371616843942</v>
      </c>
      <c r="CA12" s="15">
        <f t="shared" si="23"/>
        <v>9.1713340699037698</v>
      </c>
      <c r="CB12" s="15">
        <f t="shared" si="24"/>
        <v>4.1369731221184596</v>
      </c>
      <c r="CC12" s="15">
        <f t="shared" si="25"/>
        <v>1.6973278370135609</v>
      </c>
      <c r="CD12">
        <f t="shared" si="27"/>
        <v>-0.98049838172664749</v>
      </c>
    </row>
    <row r="13" spans="1:82" x14ac:dyDescent="0.25">
      <c r="A13">
        <v>5241</v>
      </c>
      <c r="B13" t="s">
        <v>324</v>
      </c>
      <c r="C13">
        <v>14.24869112</v>
      </c>
      <c r="D13">
        <v>-1.8701553820000001</v>
      </c>
      <c r="E13">
        <v>0.67938984599999996</v>
      </c>
      <c r="F13">
        <v>53.709262889999998</v>
      </c>
      <c r="G13" s="7">
        <v>1.29E-11</v>
      </c>
      <c r="H13" s="7">
        <v>2.86E-9</v>
      </c>
      <c r="I13" s="5" t="s">
        <v>325</v>
      </c>
      <c r="J13" t="s">
        <v>386</v>
      </c>
      <c r="K13">
        <v>45</v>
      </c>
      <c r="L13">
        <v>1098</v>
      </c>
      <c r="M13">
        <v>2.1349999999999998</v>
      </c>
      <c r="N13">
        <v>1097</v>
      </c>
      <c r="O13">
        <v>0.95099999999999996</v>
      </c>
      <c r="P13" t="s">
        <v>36</v>
      </c>
      <c r="Q13" t="s">
        <v>387</v>
      </c>
      <c r="R13">
        <v>804</v>
      </c>
      <c r="S13">
        <v>3.1E-2</v>
      </c>
      <c r="T13">
        <v>21</v>
      </c>
      <c r="U13" t="s">
        <v>90</v>
      </c>
      <c r="V13">
        <v>-1</v>
      </c>
      <c r="W13">
        <v>2</v>
      </c>
      <c r="X13">
        <v>0</v>
      </c>
      <c r="Y13">
        <v>20</v>
      </c>
      <c r="Z13">
        <v>873</v>
      </c>
      <c r="AA13">
        <v>158</v>
      </c>
      <c r="AB13">
        <v>16</v>
      </c>
      <c r="AC13">
        <v>29</v>
      </c>
      <c r="AD13">
        <v>1098</v>
      </c>
      <c r="AE13">
        <v>14</v>
      </c>
      <c r="AF13">
        <v>15</v>
      </c>
      <c r="AG13">
        <v>4</v>
      </c>
      <c r="AH13">
        <v>2</v>
      </c>
      <c r="AI13">
        <v>2</v>
      </c>
      <c r="AJ13">
        <v>7</v>
      </c>
      <c r="AK13">
        <v>4</v>
      </c>
      <c r="AL13">
        <v>2</v>
      </c>
      <c r="AM13">
        <v>66</v>
      </c>
      <c r="AN13">
        <v>0</v>
      </c>
      <c r="AO13">
        <v>1</v>
      </c>
      <c r="AP13">
        <v>3</v>
      </c>
      <c r="AQ13">
        <v>24</v>
      </c>
      <c r="AR13">
        <v>29</v>
      </c>
      <c r="AS13">
        <v>0</v>
      </c>
      <c r="AT13">
        <v>0</v>
      </c>
      <c r="AU13">
        <v>56</v>
      </c>
      <c r="AV13">
        <v>17</v>
      </c>
      <c r="AW13">
        <v>7</v>
      </c>
      <c r="AX13">
        <v>0</v>
      </c>
      <c r="AY13">
        <v>76</v>
      </c>
      <c r="AZ13">
        <v>45</v>
      </c>
      <c r="BA13">
        <v>2</v>
      </c>
      <c r="BB13">
        <v>0</v>
      </c>
      <c r="BC13" s="3">
        <f t="shared" si="26"/>
        <v>157.75829963597272</v>
      </c>
      <c r="BD13" s="3">
        <f t="shared" si="0"/>
        <v>43.157134262707828</v>
      </c>
      <c r="BE13" s="3">
        <f t="shared" si="1"/>
        <v>12.678187969984389</v>
      </c>
      <c r="BF13" s="3">
        <f t="shared" si="2"/>
        <v>15.257927637752386</v>
      </c>
      <c r="BG13" s="3">
        <f t="shared" si="3"/>
        <v>30.016171212240597</v>
      </c>
      <c r="BH13" s="3">
        <f t="shared" si="4"/>
        <v>51.474373115670268</v>
      </c>
      <c r="BI13" s="3">
        <f t="shared" si="5"/>
        <v>14.439025798929347</v>
      </c>
      <c r="BJ13" s="3">
        <f t="shared" si="6"/>
        <v>7.5194627193497769</v>
      </c>
      <c r="BK13" s="3">
        <f t="shared" si="7"/>
        <v>256.29032568093135</v>
      </c>
      <c r="BL13" s="3">
        <f t="shared" si="8"/>
        <v>0</v>
      </c>
      <c r="BM13" s="3">
        <f t="shared" si="9"/>
        <v>3.5861812244406139</v>
      </c>
      <c r="BN13" s="3">
        <f t="shared" si="10"/>
        <v>9.2391626546886059</v>
      </c>
      <c r="BO13" s="3">
        <f t="shared" si="11"/>
        <v>117.16495947556965</v>
      </c>
      <c r="BP13" s="3">
        <f t="shared" si="12"/>
        <v>54.023422320466196</v>
      </c>
      <c r="BQ13" s="3">
        <f t="shared" si="13"/>
        <v>0</v>
      </c>
      <c r="BR13" s="3">
        <f t="shared" si="14"/>
        <v>0</v>
      </c>
      <c r="BS13" s="3">
        <f t="shared" si="15"/>
        <v>332.13241763635</v>
      </c>
      <c r="BT13" s="3">
        <f t="shared" si="16"/>
        <v>85.3453499586075</v>
      </c>
      <c r="BU13" s="3">
        <f t="shared" si="17"/>
        <v>36.171541987667574</v>
      </c>
      <c r="BV13" s="3">
        <f t="shared" si="18"/>
        <v>0</v>
      </c>
      <c r="BW13" s="3">
        <f t="shared" si="19"/>
        <v>347.32877890855127</v>
      </c>
      <c r="BX13" s="3">
        <f t="shared" si="20"/>
        <v>132.9306813760866</v>
      </c>
      <c r="BY13" s="3">
        <f t="shared" si="21"/>
        <v>15.122518867232602</v>
      </c>
      <c r="BZ13" s="3">
        <f t="shared" si="22"/>
        <v>0</v>
      </c>
      <c r="CA13" s="15">
        <f t="shared" si="23"/>
        <v>38.751546804326665</v>
      </c>
      <c r="CB13" s="15">
        <f t="shared" si="24"/>
        <v>11.460664141402367</v>
      </c>
      <c r="CC13" s="15">
        <f t="shared" si="25"/>
        <v>2.561095687535671</v>
      </c>
      <c r="CD13">
        <f t="shared" si="27"/>
        <v>-0.95955204680994488</v>
      </c>
    </row>
    <row r="14" spans="1:82" x14ac:dyDescent="0.25">
      <c r="A14">
        <v>6922</v>
      </c>
      <c r="B14" t="s">
        <v>181</v>
      </c>
      <c r="C14">
        <v>243.566979</v>
      </c>
      <c r="D14">
        <v>-0.96635543199999996</v>
      </c>
      <c r="E14">
        <v>0.49681519200000002</v>
      </c>
      <c r="F14">
        <v>52.674965</v>
      </c>
      <c r="G14" s="7">
        <v>2.15E-11</v>
      </c>
      <c r="H14" s="7">
        <v>4.3899999999999999E-9</v>
      </c>
      <c r="I14" s="5" t="s">
        <v>182</v>
      </c>
      <c r="J14" t="s">
        <v>183</v>
      </c>
      <c r="K14">
        <v>1360</v>
      </c>
      <c r="L14">
        <v>169385</v>
      </c>
      <c r="M14">
        <v>329.34500000000003</v>
      </c>
      <c r="N14">
        <v>169010</v>
      </c>
      <c r="O14">
        <v>0.83</v>
      </c>
      <c r="P14" t="s">
        <v>36</v>
      </c>
      <c r="Q14" t="s">
        <v>184</v>
      </c>
      <c r="R14">
        <v>41796</v>
      </c>
      <c r="S14">
        <v>2.5999999999999999E-2</v>
      </c>
      <c r="T14">
        <v>21</v>
      </c>
      <c r="U14" t="s">
        <v>49</v>
      </c>
      <c r="V14">
        <v>1260.5</v>
      </c>
      <c r="W14">
        <v>1497</v>
      </c>
      <c r="X14">
        <v>1166</v>
      </c>
      <c r="Y14">
        <v>3916</v>
      </c>
      <c r="Z14">
        <v>142229</v>
      </c>
      <c r="AA14">
        <v>10085</v>
      </c>
      <c r="AB14">
        <v>3182</v>
      </c>
      <c r="AC14">
        <v>7310</v>
      </c>
      <c r="AD14">
        <v>169385</v>
      </c>
      <c r="AE14">
        <v>329</v>
      </c>
      <c r="AF14">
        <v>565</v>
      </c>
      <c r="AG14">
        <v>156</v>
      </c>
      <c r="AH14">
        <v>21</v>
      </c>
      <c r="AI14">
        <v>116</v>
      </c>
      <c r="AJ14">
        <v>424</v>
      </c>
      <c r="AK14">
        <v>316</v>
      </c>
      <c r="AL14">
        <v>101</v>
      </c>
      <c r="AM14">
        <v>1126</v>
      </c>
      <c r="AN14">
        <v>82</v>
      </c>
      <c r="AO14">
        <v>36</v>
      </c>
      <c r="AP14">
        <v>88</v>
      </c>
      <c r="AQ14">
        <v>320</v>
      </c>
      <c r="AR14">
        <v>472</v>
      </c>
      <c r="AS14">
        <v>44</v>
      </c>
      <c r="AT14">
        <v>9</v>
      </c>
      <c r="AU14">
        <v>334</v>
      </c>
      <c r="AV14">
        <v>306</v>
      </c>
      <c r="AW14">
        <v>88</v>
      </c>
      <c r="AX14">
        <v>157</v>
      </c>
      <c r="AY14">
        <v>698</v>
      </c>
      <c r="AZ14">
        <v>595</v>
      </c>
      <c r="BA14">
        <v>79</v>
      </c>
      <c r="BB14">
        <v>8</v>
      </c>
      <c r="BC14" s="3">
        <f t="shared" si="26"/>
        <v>3707.320041445359</v>
      </c>
      <c r="BD14" s="3">
        <f t="shared" si="0"/>
        <v>1625.5853905619952</v>
      </c>
      <c r="BE14" s="3">
        <f t="shared" si="1"/>
        <v>494.44933082939122</v>
      </c>
      <c r="BF14" s="3">
        <f t="shared" si="2"/>
        <v>160.20824019640003</v>
      </c>
      <c r="BG14" s="3">
        <f t="shared" si="3"/>
        <v>1740.9379303099545</v>
      </c>
      <c r="BH14" s="3">
        <f t="shared" si="4"/>
        <v>3117.876314434885</v>
      </c>
      <c r="BI14" s="3">
        <f t="shared" si="5"/>
        <v>1140.6830381154184</v>
      </c>
      <c r="BJ14" s="3">
        <f t="shared" si="6"/>
        <v>379.73286732716377</v>
      </c>
      <c r="BK14" s="3">
        <f t="shared" si="7"/>
        <v>4372.4682835867989</v>
      </c>
      <c r="BL14" s="3">
        <f t="shared" si="8"/>
        <v>281.52375073406461</v>
      </c>
      <c r="BM14" s="3">
        <f t="shared" si="9"/>
        <v>129.10252407986209</v>
      </c>
      <c r="BN14" s="3">
        <f t="shared" si="10"/>
        <v>271.01543787086575</v>
      </c>
      <c r="BO14" s="3">
        <f t="shared" si="11"/>
        <v>1562.199459674262</v>
      </c>
      <c r="BP14" s="3">
        <f t="shared" si="12"/>
        <v>879.27777018138079</v>
      </c>
      <c r="BQ14" s="3">
        <f t="shared" si="13"/>
        <v>220.49479030945443</v>
      </c>
      <c r="BR14" s="3">
        <f t="shared" si="14"/>
        <v>41.778307588611796</v>
      </c>
      <c r="BS14" s="3">
        <f t="shared" si="15"/>
        <v>1980.9326337596588</v>
      </c>
      <c r="BT14" s="3">
        <f t="shared" si="16"/>
        <v>1536.2162992549352</v>
      </c>
      <c r="BU14" s="3">
        <f t="shared" si="17"/>
        <v>454.72795641639232</v>
      </c>
      <c r="BV14" s="3">
        <f t="shared" si="18"/>
        <v>373.97790290819034</v>
      </c>
      <c r="BW14" s="3">
        <f t="shared" si="19"/>
        <v>3189.9406273443265</v>
      </c>
      <c r="BX14" s="3">
        <f t="shared" si="20"/>
        <v>1757.639009306034</v>
      </c>
      <c r="BY14" s="3">
        <f t="shared" si="21"/>
        <v>597.33949525568778</v>
      </c>
      <c r="BZ14" s="3">
        <f t="shared" si="22"/>
        <v>240.71371616843942</v>
      </c>
      <c r="CA14" s="15">
        <f t="shared" si="23"/>
        <v>11.280837092222786</v>
      </c>
      <c r="CB14" s="15">
        <f t="shared" si="24"/>
        <v>6.2681972211956012</v>
      </c>
      <c r="CC14" s="15">
        <f t="shared" si="25"/>
        <v>2.0694714132720913</v>
      </c>
      <c r="CD14">
        <f t="shared" si="27"/>
        <v>-0.9987012931416035</v>
      </c>
    </row>
    <row r="15" spans="1:82" x14ac:dyDescent="0.25">
      <c r="A15">
        <v>32154</v>
      </c>
      <c r="B15" t="s">
        <v>158</v>
      </c>
      <c r="C15">
        <v>22.045970109999999</v>
      </c>
      <c r="D15">
        <v>-1.7919275530000001</v>
      </c>
      <c r="E15">
        <v>0.632466164</v>
      </c>
      <c r="F15">
        <v>40.982857189999997</v>
      </c>
      <c r="G15" s="7">
        <v>6.5899999999999998E-9</v>
      </c>
      <c r="H15" s="7">
        <v>5.0999999999999999E-7</v>
      </c>
      <c r="I15" s="5" t="s">
        <v>159</v>
      </c>
      <c r="J15" t="s">
        <v>160</v>
      </c>
      <c r="K15">
        <v>87</v>
      </c>
      <c r="L15">
        <v>169089</v>
      </c>
      <c r="M15">
        <v>328.76900000000001</v>
      </c>
      <c r="N15">
        <v>152535</v>
      </c>
      <c r="O15">
        <v>0.996</v>
      </c>
      <c r="P15" t="s">
        <v>36</v>
      </c>
      <c r="Q15" t="s">
        <v>161</v>
      </c>
      <c r="R15">
        <v>122086</v>
      </c>
      <c r="S15">
        <v>2E-3</v>
      </c>
      <c r="T15">
        <v>21</v>
      </c>
      <c r="U15" t="s">
        <v>43</v>
      </c>
      <c r="V15">
        <v>-1</v>
      </c>
      <c r="W15">
        <v>1899</v>
      </c>
      <c r="X15">
        <v>38</v>
      </c>
      <c r="Y15">
        <v>5426</v>
      </c>
      <c r="Z15">
        <v>135684</v>
      </c>
      <c r="AA15">
        <v>25371</v>
      </c>
      <c r="AB15">
        <v>281</v>
      </c>
      <c r="AC15">
        <v>390</v>
      </c>
      <c r="AD15">
        <v>169089</v>
      </c>
      <c r="AE15">
        <v>36</v>
      </c>
      <c r="AF15">
        <v>44</v>
      </c>
      <c r="AG15">
        <v>8</v>
      </c>
      <c r="AH15">
        <v>0</v>
      </c>
      <c r="AI15">
        <v>19</v>
      </c>
      <c r="AJ15">
        <v>19</v>
      </c>
      <c r="AK15">
        <v>23</v>
      </c>
      <c r="AL15">
        <v>21</v>
      </c>
      <c r="AM15">
        <v>69</v>
      </c>
      <c r="AN15">
        <v>5</v>
      </c>
      <c r="AO15">
        <v>1</v>
      </c>
      <c r="AP15">
        <v>3</v>
      </c>
      <c r="AQ15">
        <v>16</v>
      </c>
      <c r="AR15">
        <v>45</v>
      </c>
      <c r="AS15">
        <v>4</v>
      </c>
      <c r="AT15">
        <v>0</v>
      </c>
      <c r="AU15">
        <v>44</v>
      </c>
      <c r="AV15">
        <v>11</v>
      </c>
      <c r="AW15">
        <v>12</v>
      </c>
      <c r="AX15">
        <v>5</v>
      </c>
      <c r="AY15">
        <v>97</v>
      </c>
      <c r="AZ15">
        <v>50</v>
      </c>
      <c r="BA15">
        <v>2</v>
      </c>
      <c r="BB15">
        <v>1</v>
      </c>
      <c r="BC15" s="3">
        <f t="shared" si="26"/>
        <v>405.66419906392986</v>
      </c>
      <c r="BD15" s="3">
        <f t="shared" si="0"/>
        <v>126.59426050394299</v>
      </c>
      <c r="BE15" s="3">
        <f t="shared" si="1"/>
        <v>25.356375939968778</v>
      </c>
      <c r="BF15" s="3">
        <f t="shared" si="2"/>
        <v>0</v>
      </c>
      <c r="BG15" s="3">
        <f t="shared" si="3"/>
        <v>285.15362651628567</v>
      </c>
      <c r="BH15" s="3">
        <f t="shared" si="4"/>
        <v>139.71615559967645</v>
      </c>
      <c r="BI15" s="3">
        <f t="shared" si="5"/>
        <v>83.024398343843743</v>
      </c>
      <c r="BJ15" s="3">
        <f t="shared" si="6"/>
        <v>78.954358553172668</v>
      </c>
      <c r="BK15" s="3">
        <f t="shared" si="7"/>
        <v>267.93988593915549</v>
      </c>
      <c r="BL15" s="3">
        <f t="shared" si="8"/>
        <v>17.166082361833205</v>
      </c>
      <c r="BM15" s="3">
        <f t="shared" si="9"/>
        <v>3.5861812244406139</v>
      </c>
      <c r="BN15" s="3">
        <f t="shared" si="10"/>
        <v>9.2391626546886059</v>
      </c>
      <c r="BO15" s="3">
        <f t="shared" si="11"/>
        <v>78.109972983713106</v>
      </c>
      <c r="BP15" s="3">
        <f t="shared" si="12"/>
        <v>83.829448428309618</v>
      </c>
      <c r="BQ15" s="3">
        <f t="shared" si="13"/>
        <v>20.04498093722313</v>
      </c>
      <c r="BR15" s="3">
        <f t="shared" si="14"/>
        <v>0</v>
      </c>
      <c r="BS15" s="3">
        <f t="shared" si="15"/>
        <v>260.96118528570355</v>
      </c>
      <c r="BT15" s="3">
        <f t="shared" si="16"/>
        <v>55.223461737922506</v>
      </c>
      <c r="BU15" s="3">
        <f t="shared" si="17"/>
        <v>62.008357693144411</v>
      </c>
      <c r="BV15" s="3">
        <f t="shared" si="18"/>
        <v>11.910124296439182</v>
      </c>
      <c r="BW15" s="3">
        <f t="shared" si="19"/>
        <v>443.30120465959834</v>
      </c>
      <c r="BX15" s="3">
        <f t="shared" si="20"/>
        <v>147.70075708454067</v>
      </c>
      <c r="BY15" s="3">
        <f t="shared" si="21"/>
        <v>15.122518867232602</v>
      </c>
      <c r="BZ15" s="3">
        <f t="shared" si="22"/>
        <v>30.089214521054927</v>
      </c>
      <c r="CA15" s="15">
        <f t="shared" si="23"/>
        <v>13.373468207928582</v>
      </c>
      <c r="CB15" s="15">
        <f t="shared" si="24"/>
        <v>4.3798881567328021</v>
      </c>
      <c r="CC15" s="15">
        <f t="shared" si="25"/>
        <v>1.6064077013526101</v>
      </c>
      <c r="CD15">
        <f t="shared" si="27"/>
        <v>-0.95644952341467926</v>
      </c>
    </row>
    <row r="16" spans="1:82" x14ac:dyDescent="0.25">
      <c r="A16">
        <v>7747</v>
      </c>
      <c r="B16" t="s">
        <v>326</v>
      </c>
      <c r="C16">
        <v>51.863688320000001</v>
      </c>
      <c r="D16">
        <v>-0.311601136</v>
      </c>
      <c r="E16">
        <v>0.47036264100000003</v>
      </c>
      <c r="F16">
        <v>38.898595110000002</v>
      </c>
      <c r="G16" s="7">
        <v>1.8200000000000001E-8</v>
      </c>
      <c r="H16" s="7">
        <v>1.1400000000000001E-6</v>
      </c>
      <c r="I16" s="5" t="s">
        <v>327</v>
      </c>
      <c r="J16" t="s">
        <v>388</v>
      </c>
      <c r="K16">
        <v>183</v>
      </c>
      <c r="L16">
        <v>12570</v>
      </c>
      <c r="M16">
        <v>24.440999999999999</v>
      </c>
      <c r="N16">
        <v>11072</v>
      </c>
      <c r="O16">
        <v>3.5000000000000003E-2</v>
      </c>
      <c r="P16" t="s">
        <v>88</v>
      </c>
      <c r="Q16" t="s">
        <v>389</v>
      </c>
      <c r="R16">
        <v>5321</v>
      </c>
      <c r="S16">
        <v>3.3000000000000002E-2</v>
      </c>
      <c r="T16">
        <v>21</v>
      </c>
      <c r="U16" t="s">
        <v>43</v>
      </c>
      <c r="V16">
        <v>-1</v>
      </c>
      <c r="W16">
        <v>301</v>
      </c>
      <c r="X16">
        <v>56</v>
      </c>
      <c r="Y16">
        <v>1770</v>
      </c>
      <c r="Z16">
        <v>8861</v>
      </c>
      <c r="AA16">
        <v>709</v>
      </c>
      <c r="AB16">
        <v>137</v>
      </c>
      <c r="AC16">
        <v>736</v>
      </c>
      <c r="AD16">
        <v>12570</v>
      </c>
      <c r="AE16">
        <v>58</v>
      </c>
      <c r="AF16">
        <v>107</v>
      </c>
      <c r="AG16">
        <v>42</v>
      </c>
      <c r="AH16">
        <v>0</v>
      </c>
      <c r="AI16">
        <v>25</v>
      </c>
      <c r="AJ16">
        <v>90</v>
      </c>
      <c r="AK16">
        <v>67</v>
      </c>
      <c r="AL16">
        <v>21</v>
      </c>
      <c r="AM16">
        <v>143</v>
      </c>
      <c r="AN16">
        <v>28</v>
      </c>
      <c r="AO16">
        <v>14</v>
      </c>
      <c r="AP16">
        <v>41</v>
      </c>
      <c r="AQ16">
        <v>45</v>
      </c>
      <c r="AR16">
        <v>197</v>
      </c>
      <c r="AS16">
        <v>22</v>
      </c>
      <c r="AT16">
        <v>12</v>
      </c>
      <c r="AU16">
        <v>92</v>
      </c>
      <c r="AV16">
        <v>106</v>
      </c>
      <c r="AW16">
        <v>22</v>
      </c>
      <c r="AX16">
        <v>41</v>
      </c>
      <c r="AY16">
        <v>92</v>
      </c>
      <c r="AZ16">
        <v>158</v>
      </c>
      <c r="BA16">
        <v>15</v>
      </c>
      <c r="BB16">
        <v>1</v>
      </c>
      <c r="BC16" s="3">
        <f t="shared" si="26"/>
        <v>653.57009849188705</v>
      </c>
      <c r="BD16" s="3">
        <f t="shared" si="0"/>
        <v>307.85422440731588</v>
      </c>
      <c r="BE16" s="3">
        <f t="shared" si="1"/>
        <v>133.12097368483609</v>
      </c>
      <c r="BF16" s="3">
        <f t="shared" si="2"/>
        <v>0</v>
      </c>
      <c r="BG16" s="3">
        <f t="shared" si="3"/>
        <v>375.20214015300741</v>
      </c>
      <c r="BH16" s="3">
        <f t="shared" si="4"/>
        <v>661.8133686300464</v>
      </c>
      <c r="BI16" s="3">
        <f t="shared" si="5"/>
        <v>241.85368213206655</v>
      </c>
      <c r="BJ16" s="3">
        <f t="shared" si="6"/>
        <v>78.954358553172668</v>
      </c>
      <c r="BK16" s="3">
        <f t="shared" si="7"/>
        <v>555.29570564201799</v>
      </c>
      <c r="BL16" s="3">
        <f t="shared" si="8"/>
        <v>96.130061226265951</v>
      </c>
      <c r="BM16" s="3">
        <f t="shared" si="9"/>
        <v>50.206537142168592</v>
      </c>
      <c r="BN16" s="3">
        <f t="shared" si="10"/>
        <v>126.26855628074426</v>
      </c>
      <c r="BO16" s="3">
        <f t="shared" si="11"/>
        <v>219.68429901669307</v>
      </c>
      <c r="BP16" s="3">
        <f t="shared" si="12"/>
        <v>366.98669645282212</v>
      </c>
      <c r="BQ16" s="3">
        <f t="shared" si="13"/>
        <v>110.24739515472722</v>
      </c>
      <c r="BR16" s="3">
        <f t="shared" si="14"/>
        <v>55.704410118149056</v>
      </c>
      <c r="BS16" s="3">
        <f t="shared" si="15"/>
        <v>545.64611468828923</v>
      </c>
      <c r="BT16" s="3">
        <f t="shared" si="16"/>
        <v>532.15335856543504</v>
      </c>
      <c r="BU16" s="3">
        <f t="shared" si="17"/>
        <v>113.68198910409808</v>
      </c>
      <c r="BV16" s="3">
        <f t="shared" si="18"/>
        <v>97.663019230801311</v>
      </c>
      <c r="BW16" s="3">
        <f t="shared" si="19"/>
        <v>420.45062709982528</v>
      </c>
      <c r="BX16" s="3">
        <f t="shared" si="20"/>
        <v>466.73439238714849</v>
      </c>
      <c r="BY16" s="3">
        <f t="shared" si="21"/>
        <v>113.41889150424451</v>
      </c>
      <c r="BZ16" s="3">
        <f t="shared" si="22"/>
        <v>30.089214521054927</v>
      </c>
      <c r="CA16" s="15">
        <f t="shared" si="23"/>
        <v>7.1263047491562608</v>
      </c>
      <c r="CB16" s="15">
        <f t="shared" si="24"/>
        <v>6.2562387118520091</v>
      </c>
      <c r="CC16" s="15">
        <f t="shared" si="25"/>
        <v>1.9618460802642828</v>
      </c>
      <c r="CD16">
        <f t="shared" si="27"/>
        <v>-0.93390759079174268</v>
      </c>
    </row>
    <row r="17" spans="1:82" x14ac:dyDescent="0.25">
      <c r="A17">
        <v>27593</v>
      </c>
      <c r="B17" t="s">
        <v>237</v>
      </c>
      <c r="C17">
        <v>12.556842659999999</v>
      </c>
      <c r="D17" s="5">
        <v>1.452335647</v>
      </c>
      <c r="E17">
        <v>0.80382219700000002</v>
      </c>
      <c r="F17">
        <v>34.578084079999996</v>
      </c>
      <c r="G17" s="7">
        <v>1.4999999999999999E-7</v>
      </c>
      <c r="H17" s="7">
        <v>6.2500000000000003E-6</v>
      </c>
      <c r="I17" s="5" t="s">
        <v>238</v>
      </c>
      <c r="J17" t="s">
        <v>239</v>
      </c>
      <c r="K17">
        <v>159</v>
      </c>
      <c r="L17">
        <v>1028</v>
      </c>
      <c r="M17">
        <v>1.9990000000000001</v>
      </c>
      <c r="N17">
        <v>1028</v>
      </c>
      <c r="O17">
        <v>0.98099999999999998</v>
      </c>
      <c r="P17" t="s">
        <v>36</v>
      </c>
      <c r="Q17" t="s">
        <v>240</v>
      </c>
      <c r="R17">
        <v>177</v>
      </c>
      <c r="S17">
        <v>8.5000000000000006E-2</v>
      </c>
      <c r="T17">
        <v>21</v>
      </c>
      <c r="U17" t="s">
        <v>43</v>
      </c>
      <c r="V17">
        <v>-1</v>
      </c>
      <c r="W17">
        <v>160</v>
      </c>
      <c r="X17">
        <v>28</v>
      </c>
      <c r="Y17">
        <v>61</v>
      </c>
      <c r="Z17">
        <v>728</v>
      </c>
      <c r="AA17">
        <v>41</v>
      </c>
      <c r="AB17">
        <v>5</v>
      </c>
      <c r="AC17">
        <v>5</v>
      </c>
      <c r="AD17">
        <v>1028</v>
      </c>
      <c r="AE17">
        <v>0</v>
      </c>
      <c r="AF17">
        <v>9</v>
      </c>
      <c r="AG17">
        <v>11</v>
      </c>
      <c r="AH17">
        <v>5</v>
      </c>
      <c r="AI17">
        <v>0</v>
      </c>
      <c r="AJ17">
        <v>5</v>
      </c>
      <c r="AK17">
        <v>40</v>
      </c>
      <c r="AL17">
        <v>32</v>
      </c>
      <c r="AM17">
        <v>5</v>
      </c>
      <c r="AN17">
        <v>7</v>
      </c>
      <c r="AO17">
        <v>14</v>
      </c>
      <c r="AP17">
        <v>76</v>
      </c>
      <c r="AQ17">
        <v>2</v>
      </c>
      <c r="AR17">
        <v>24</v>
      </c>
      <c r="AS17">
        <v>68</v>
      </c>
      <c r="AT17">
        <v>24</v>
      </c>
      <c r="AU17">
        <v>1</v>
      </c>
      <c r="AV17">
        <v>1</v>
      </c>
      <c r="AW17">
        <v>12</v>
      </c>
      <c r="AX17">
        <v>33</v>
      </c>
      <c r="AY17">
        <v>2</v>
      </c>
      <c r="AZ17">
        <v>6</v>
      </c>
      <c r="BA17">
        <v>5</v>
      </c>
      <c r="BB17">
        <v>2</v>
      </c>
      <c r="BC17" s="3">
        <f t="shared" si="26"/>
        <v>0</v>
      </c>
      <c r="BD17" s="3">
        <f t="shared" si="0"/>
        <v>25.8942805576247</v>
      </c>
      <c r="BE17" s="3">
        <f t="shared" si="1"/>
        <v>34.865016917457076</v>
      </c>
      <c r="BF17" s="3">
        <f t="shared" si="2"/>
        <v>38.144819094380964</v>
      </c>
      <c r="BG17" s="3">
        <f t="shared" si="3"/>
        <v>0</v>
      </c>
      <c r="BH17" s="3">
        <f t="shared" si="4"/>
        <v>36.767409368335905</v>
      </c>
      <c r="BI17" s="3">
        <f t="shared" si="5"/>
        <v>144.39025798929347</v>
      </c>
      <c r="BJ17" s="3">
        <f t="shared" si="6"/>
        <v>120.31140350959643</v>
      </c>
      <c r="BK17" s="3">
        <f t="shared" si="7"/>
        <v>19.415933763706921</v>
      </c>
      <c r="BL17" s="3">
        <f t="shared" si="8"/>
        <v>24.032515306566488</v>
      </c>
      <c r="BM17" s="3">
        <f t="shared" si="9"/>
        <v>50.206537142168592</v>
      </c>
      <c r="BN17" s="3">
        <f t="shared" si="10"/>
        <v>234.05878725211133</v>
      </c>
      <c r="BO17" s="3">
        <f t="shared" si="11"/>
        <v>9.7637466229641383</v>
      </c>
      <c r="BP17" s="3">
        <f t="shared" si="12"/>
        <v>44.709039161765126</v>
      </c>
      <c r="BQ17" s="3">
        <f t="shared" si="13"/>
        <v>340.76467593279318</v>
      </c>
      <c r="BR17" s="3">
        <f t="shared" si="14"/>
        <v>111.40882023629811</v>
      </c>
      <c r="BS17" s="3">
        <f t="shared" si="15"/>
        <v>5.9309360292205353</v>
      </c>
      <c r="BT17" s="3">
        <f t="shared" si="16"/>
        <v>5.0203147034475011</v>
      </c>
      <c r="BU17" s="3">
        <f t="shared" si="17"/>
        <v>62.008357693144411</v>
      </c>
      <c r="BV17" s="3">
        <f t="shared" si="18"/>
        <v>78.606820356498602</v>
      </c>
      <c r="BW17" s="3">
        <f t="shared" si="19"/>
        <v>9.1402310239092444</v>
      </c>
      <c r="BX17" s="3">
        <f t="shared" si="20"/>
        <v>17.724090850144879</v>
      </c>
      <c r="BY17" s="3">
        <f t="shared" si="21"/>
        <v>37.806297168081507</v>
      </c>
      <c r="BZ17" s="3">
        <f t="shared" si="22"/>
        <v>60.178429042109855</v>
      </c>
      <c r="CA17" s="15">
        <f t="shared" si="23"/>
        <v>6.8850509276834976E-2</v>
      </c>
      <c r="CB17" s="15">
        <f t="shared" si="24"/>
        <v>0.2398404735000236</v>
      </c>
      <c r="CC17" s="15">
        <f t="shared" si="25"/>
        <v>1.0425263376916802</v>
      </c>
      <c r="CD17" s="11">
        <f t="shared" si="27"/>
        <v>0.93646148491361214</v>
      </c>
    </row>
    <row r="18" spans="1:82" x14ac:dyDescent="0.25">
      <c r="A18">
        <v>21332</v>
      </c>
      <c r="B18" t="s">
        <v>279</v>
      </c>
      <c r="C18">
        <v>9920.8381960000006</v>
      </c>
      <c r="D18" s="5">
        <v>5.9321856589999999</v>
      </c>
      <c r="E18">
        <v>1.028662899</v>
      </c>
      <c r="F18">
        <v>32.926641340000003</v>
      </c>
      <c r="G18" s="7">
        <v>3.34E-7</v>
      </c>
      <c r="H18" s="7">
        <v>1.2E-5</v>
      </c>
      <c r="I18" s="5" t="s">
        <v>280</v>
      </c>
      <c r="J18" t="s">
        <v>281</v>
      </c>
      <c r="K18">
        <v>1372</v>
      </c>
      <c r="L18">
        <v>372228</v>
      </c>
      <c r="M18">
        <v>723.74300000000005</v>
      </c>
      <c r="N18">
        <v>366657</v>
      </c>
      <c r="O18">
        <v>0.85799999999999998</v>
      </c>
      <c r="P18" t="s">
        <v>36</v>
      </c>
      <c r="Q18" t="s">
        <v>282</v>
      </c>
      <c r="R18">
        <v>114868</v>
      </c>
      <c r="S18">
        <v>1.0999999999999999E-2</v>
      </c>
      <c r="T18">
        <v>21</v>
      </c>
      <c r="U18" t="s">
        <v>49</v>
      </c>
      <c r="V18">
        <v>3375.4</v>
      </c>
      <c r="W18">
        <v>4752</v>
      </c>
      <c r="X18">
        <v>1139</v>
      </c>
      <c r="Y18">
        <v>22482</v>
      </c>
      <c r="Z18">
        <v>308488</v>
      </c>
      <c r="AA18">
        <v>19863</v>
      </c>
      <c r="AB18">
        <v>3366</v>
      </c>
      <c r="AC18">
        <v>12138</v>
      </c>
      <c r="AD18">
        <v>372228</v>
      </c>
      <c r="AE18">
        <v>25</v>
      </c>
      <c r="AF18">
        <v>205</v>
      </c>
      <c r="AG18">
        <v>25900</v>
      </c>
      <c r="AH18">
        <v>7557</v>
      </c>
      <c r="AI18">
        <v>101</v>
      </c>
      <c r="AJ18">
        <v>387</v>
      </c>
      <c r="AK18">
        <v>38930</v>
      </c>
      <c r="AL18">
        <v>14641</v>
      </c>
      <c r="AM18">
        <v>42</v>
      </c>
      <c r="AN18">
        <v>20846</v>
      </c>
      <c r="AO18">
        <v>32408</v>
      </c>
      <c r="AP18">
        <v>66934</v>
      </c>
      <c r="AQ18">
        <v>6</v>
      </c>
      <c r="AR18">
        <v>51806</v>
      </c>
      <c r="AS18">
        <v>31128</v>
      </c>
      <c r="AT18">
        <v>22777</v>
      </c>
      <c r="AU18">
        <v>46</v>
      </c>
      <c r="AV18">
        <v>48</v>
      </c>
      <c r="AW18">
        <v>3000</v>
      </c>
      <c r="AX18">
        <v>14686</v>
      </c>
      <c r="AY18">
        <v>19</v>
      </c>
      <c r="AZ18">
        <v>145</v>
      </c>
      <c r="BA18">
        <v>4004</v>
      </c>
      <c r="BB18">
        <v>872</v>
      </c>
      <c r="BC18" s="3">
        <f t="shared" si="26"/>
        <v>281.71124934995129</v>
      </c>
      <c r="BD18" s="3">
        <f t="shared" si="0"/>
        <v>589.81416825700705</v>
      </c>
      <c r="BE18" s="3">
        <f t="shared" si="1"/>
        <v>82091.26710564892</v>
      </c>
      <c r="BF18" s="3">
        <f t="shared" si="2"/>
        <v>57652.079579247395</v>
      </c>
      <c r="BG18" s="3">
        <f t="shared" si="3"/>
        <v>1515.81664621815</v>
      </c>
      <c r="BH18" s="3">
        <f t="shared" si="4"/>
        <v>2845.7974851091994</v>
      </c>
      <c r="BI18" s="3">
        <f t="shared" si="5"/>
        <v>140527.81858807986</v>
      </c>
      <c r="BJ18" s="3">
        <f t="shared" si="6"/>
        <v>55046.226837000046</v>
      </c>
      <c r="BK18" s="3">
        <f t="shared" si="7"/>
        <v>163.09384361513813</v>
      </c>
      <c r="BL18" s="3">
        <f t="shared" si="8"/>
        <v>71568.830582955008</v>
      </c>
      <c r="BM18" s="3">
        <f t="shared" si="9"/>
        <v>116220.96112167143</v>
      </c>
      <c r="BN18" s="3">
        <f t="shared" si="10"/>
        <v>206138.03770964238</v>
      </c>
      <c r="BO18" s="3">
        <f t="shared" si="11"/>
        <v>29.291239868892411</v>
      </c>
      <c r="BP18" s="3">
        <f t="shared" si="12"/>
        <v>96508.186783933503</v>
      </c>
      <c r="BQ18" s="3">
        <f t="shared" si="13"/>
        <v>155990.0416534704</v>
      </c>
      <c r="BR18" s="3">
        <f t="shared" si="14"/>
        <v>105731.61243842341</v>
      </c>
      <c r="BS18" s="3">
        <f t="shared" si="15"/>
        <v>272.82305734414462</v>
      </c>
      <c r="BT18" s="3">
        <f t="shared" si="16"/>
        <v>240.97510576548001</v>
      </c>
      <c r="BU18" s="3">
        <f t="shared" si="17"/>
        <v>15502.089423286103</v>
      </c>
      <c r="BV18" s="3">
        <f t="shared" si="18"/>
        <v>34982.417083501168</v>
      </c>
      <c r="BW18" s="3">
        <f t="shared" si="19"/>
        <v>86.832194727137818</v>
      </c>
      <c r="BX18" s="3">
        <f t="shared" si="20"/>
        <v>428.33219554516796</v>
      </c>
      <c r="BY18" s="3">
        <f t="shared" si="21"/>
        <v>30275.282772199669</v>
      </c>
      <c r="BZ18" s="3">
        <f t="shared" si="22"/>
        <v>26237.795062359899</v>
      </c>
      <c r="CA18" s="15">
        <f t="shared" si="23"/>
        <v>4.8366106514322882E-3</v>
      </c>
      <c r="CB18" s="15">
        <f t="shared" si="24"/>
        <v>0.35443830750083716</v>
      </c>
      <c r="CC18" s="15">
        <f t="shared" si="25"/>
        <v>1.1128460828919193</v>
      </c>
      <c r="CD18" s="11">
        <f t="shared" si="27"/>
        <v>0.9780560217729386</v>
      </c>
    </row>
    <row r="19" spans="1:82" x14ac:dyDescent="0.25">
      <c r="A19">
        <v>22791</v>
      </c>
      <c r="B19" t="s">
        <v>170</v>
      </c>
      <c r="C19">
        <v>163.04791370000001</v>
      </c>
      <c r="D19">
        <v>-0.99742143599999999</v>
      </c>
      <c r="E19">
        <v>0.47981951499999997</v>
      </c>
      <c r="F19">
        <v>31.583164740000001</v>
      </c>
      <c r="G19" s="7">
        <v>6.4099999999999998E-7</v>
      </c>
      <c r="H19" s="7">
        <v>2.0400000000000001E-5</v>
      </c>
      <c r="I19" s="5" t="s">
        <v>171</v>
      </c>
      <c r="J19" t="s">
        <v>172</v>
      </c>
      <c r="K19">
        <v>856</v>
      </c>
      <c r="L19">
        <v>26577</v>
      </c>
      <c r="M19">
        <v>51.674999999999997</v>
      </c>
      <c r="N19">
        <v>26472</v>
      </c>
      <c r="O19">
        <v>0.98</v>
      </c>
      <c r="P19" t="s">
        <v>36</v>
      </c>
      <c r="Q19" t="s">
        <v>173</v>
      </c>
      <c r="R19">
        <v>4712</v>
      </c>
      <c r="S19">
        <v>4.8000000000000001E-2</v>
      </c>
      <c r="T19">
        <v>24</v>
      </c>
      <c r="U19" t="s">
        <v>49</v>
      </c>
      <c r="V19">
        <v>-1</v>
      </c>
      <c r="W19">
        <v>132</v>
      </c>
      <c r="X19">
        <v>3306</v>
      </c>
      <c r="Y19">
        <v>283</v>
      </c>
      <c r="Z19">
        <v>479</v>
      </c>
      <c r="AA19">
        <v>522</v>
      </c>
      <c r="AB19">
        <v>1818</v>
      </c>
      <c r="AC19">
        <v>20037</v>
      </c>
      <c r="AD19">
        <v>26577</v>
      </c>
      <c r="AE19">
        <v>337</v>
      </c>
      <c r="AF19">
        <v>218</v>
      </c>
      <c r="AG19">
        <v>156</v>
      </c>
      <c r="AH19">
        <v>25</v>
      </c>
      <c r="AI19">
        <v>81</v>
      </c>
      <c r="AJ19">
        <v>148</v>
      </c>
      <c r="AK19">
        <v>183</v>
      </c>
      <c r="AL19">
        <v>178</v>
      </c>
      <c r="AM19">
        <v>444</v>
      </c>
      <c r="AN19">
        <v>178</v>
      </c>
      <c r="AO19">
        <v>97</v>
      </c>
      <c r="AP19">
        <v>63</v>
      </c>
      <c r="AQ19">
        <v>196</v>
      </c>
      <c r="AR19">
        <v>169</v>
      </c>
      <c r="AS19">
        <v>21</v>
      </c>
      <c r="AT19">
        <v>17</v>
      </c>
      <c r="AU19">
        <v>217</v>
      </c>
      <c r="AV19">
        <v>228</v>
      </c>
      <c r="AW19">
        <v>152</v>
      </c>
      <c r="AX19">
        <v>47</v>
      </c>
      <c r="AY19">
        <v>249</v>
      </c>
      <c r="AZ19">
        <v>482</v>
      </c>
      <c r="BA19">
        <v>81</v>
      </c>
      <c r="BB19">
        <v>19</v>
      </c>
      <c r="BC19" s="3">
        <f t="shared" si="26"/>
        <v>3797.4676412373433</v>
      </c>
      <c r="BD19" s="3">
        <f t="shared" si="0"/>
        <v>627.21701795135391</v>
      </c>
      <c r="BE19" s="3">
        <f t="shared" si="1"/>
        <v>494.44933082939122</v>
      </c>
      <c r="BF19" s="3">
        <f t="shared" si="2"/>
        <v>190.72409547190483</v>
      </c>
      <c r="BG19" s="3">
        <f t="shared" si="3"/>
        <v>1215.654934095744</v>
      </c>
      <c r="BH19" s="3">
        <f t="shared" si="4"/>
        <v>1088.3153173027429</v>
      </c>
      <c r="BI19" s="3">
        <f t="shared" si="5"/>
        <v>660.5854303010176</v>
      </c>
      <c r="BJ19" s="3">
        <f t="shared" si="6"/>
        <v>669.23218202213025</v>
      </c>
      <c r="BK19" s="3">
        <f t="shared" si="7"/>
        <v>1724.1349182171748</v>
      </c>
      <c r="BL19" s="3">
        <f t="shared" si="8"/>
        <v>611.11253208126209</v>
      </c>
      <c r="BM19" s="3">
        <f t="shared" si="9"/>
        <v>347.85957877073957</v>
      </c>
      <c r="BN19" s="3">
        <f t="shared" si="10"/>
        <v>194.02241574846073</v>
      </c>
      <c r="BO19" s="3">
        <f t="shared" si="11"/>
        <v>956.84716905048538</v>
      </c>
      <c r="BP19" s="3">
        <f t="shared" si="12"/>
        <v>314.8261507640961</v>
      </c>
      <c r="BQ19" s="3">
        <f t="shared" si="13"/>
        <v>105.23614992042143</v>
      </c>
      <c r="BR19" s="3">
        <f t="shared" si="14"/>
        <v>78.914581000711152</v>
      </c>
      <c r="BS19" s="3">
        <f t="shared" si="15"/>
        <v>1287.0131183408562</v>
      </c>
      <c r="BT19" s="3">
        <f t="shared" si="16"/>
        <v>1144.63175238603</v>
      </c>
      <c r="BU19" s="3">
        <f t="shared" si="17"/>
        <v>785.43919744649577</v>
      </c>
      <c r="BV19" s="3">
        <f t="shared" si="18"/>
        <v>111.95516838652833</v>
      </c>
      <c r="BW19" s="3">
        <f t="shared" si="19"/>
        <v>1137.9587624767009</v>
      </c>
      <c r="BX19" s="3">
        <f t="shared" si="20"/>
        <v>1423.8352982949718</v>
      </c>
      <c r="BY19" s="3">
        <f t="shared" si="21"/>
        <v>612.46201412292044</v>
      </c>
      <c r="BZ19" s="3">
        <f t="shared" si="22"/>
        <v>571.69507590004366</v>
      </c>
      <c r="CA19" s="15">
        <f t="shared" si="23"/>
        <v>5.5705114907504045</v>
      </c>
      <c r="CB19" s="15">
        <f t="shared" si="24"/>
        <v>2.8680502369671408</v>
      </c>
      <c r="CC19" s="15">
        <f t="shared" si="25"/>
        <v>1.6548085254923703</v>
      </c>
      <c r="CD19">
        <f t="shared" si="27"/>
        <v>-0.97673092916661475</v>
      </c>
    </row>
    <row r="20" spans="1:82" x14ac:dyDescent="0.25">
      <c r="A20">
        <v>31911</v>
      </c>
      <c r="B20" t="s">
        <v>328</v>
      </c>
      <c r="C20">
        <v>10.05768555</v>
      </c>
      <c r="D20">
        <v>-0.87185052799999996</v>
      </c>
      <c r="E20">
        <v>0.54006195099999998</v>
      </c>
      <c r="F20">
        <v>30.719703970000001</v>
      </c>
      <c r="G20" s="7">
        <v>9.7399999999999991E-7</v>
      </c>
      <c r="H20" s="7">
        <v>2.87E-5</v>
      </c>
      <c r="I20" s="5" t="s">
        <v>329</v>
      </c>
      <c r="J20" t="s">
        <v>390</v>
      </c>
      <c r="K20">
        <v>618</v>
      </c>
      <c r="L20">
        <v>63619</v>
      </c>
      <c r="M20">
        <v>123.69799999999999</v>
      </c>
      <c r="N20">
        <v>63410</v>
      </c>
      <c r="O20">
        <v>8.2000000000000003E-2</v>
      </c>
      <c r="P20" t="s">
        <v>88</v>
      </c>
      <c r="Q20" t="s">
        <v>391</v>
      </c>
      <c r="R20">
        <v>9399</v>
      </c>
      <c r="S20">
        <v>3.4000000000000002E-2</v>
      </c>
      <c r="T20">
        <v>21</v>
      </c>
      <c r="U20" t="s">
        <v>49</v>
      </c>
      <c r="V20">
        <v>476.3</v>
      </c>
      <c r="W20">
        <v>501</v>
      </c>
      <c r="X20">
        <v>426</v>
      </c>
      <c r="Y20">
        <v>1560</v>
      </c>
      <c r="Z20">
        <v>48970</v>
      </c>
      <c r="AA20">
        <v>4814</v>
      </c>
      <c r="AB20">
        <v>847</v>
      </c>
      <c r="AC20">
        <v>6501</v>
      </c>
      <c r="AD20">
        <v>63619</v>
      </c>
      <c r="AE20">
        <v>8</v>
      </c>
      <c r="AF20">
        <v>39</v>
      </c>
      <c r="AG20">
        <v>19</v>
      </c>
      <c r="AH20">
        <v>2</v>
      </c>
      <c r="AI20">
        <v>3</v>
      </c>
      <c r="AJ20">
        <v>8</v>
      </c>
      <c r="AK20">
        <v>2</v>
      </c>
      <c r="AL20">
        <v>3</v>
      </c>
      <c r="AM20">
        <v>53</v>
      </c>
      <c r="AN20">
        <v>3</v>
      </c>
      <c r="AO20">
        <v>10</v>
      </c>
      <c r="AP20">
        <v>4</v>
      </c>
      <c r="AQ20">
        <v>13</v>
      </c>
      <c r="AR20">
        <v>25</v>
      </c>
      <c r="AS20">
        <v>4</v>
      </c>
      <c r="AT20">
        <v>0</v>
      </c>
      <c r="AU20">
        <v>18</v>
      </c>
      <c r="AV20">
        <v>12</v>
      </c>
      <c r="AW20">
        <v>12</v>
      </c>
      <c r="AX20">
        <v>0</v>
      </c>
      <c r="AY20">
        <v>21</v>
      </c>
      <c r="AZ20">
        <v>25</v>
      </c>
      <c r="BA20">
        <v>6</v>
      </c>
      <c r="BB20">
        <v>1</v>
      </c>
      <c r="BC20" s="3">
        <f t="shared" si="26"/>
        <v>90.147599791984405</v>
      </c>
      <c r="BD20" s="3">
        <f t="shared" si="0"/>
        <v>112.20854908304037</v>
      </c>
      <c r="BE20" s="3">
        <f t="shared" si="1"/>
        <v>60.221392857425847</v>
      </c>
      <c r="BF20" s="3">
        <f t="shared" si="2"/>
        <v>15.257927637752386</v>
      </c>
      <c r="BG20" s="3">
        <f t="shared" si="3"/>
        <v>45.02425681836089</v>
      </c>
      <c r="BH20" s="3">
        <f t="shared" si="4"/>
        <v>58.827854989337446</v>
      </c>
      <c r="BI20" s="3">
        <f t="shared" si="5"/>
        <v>7.2195128994646733</v>
      </c>
      <c r="BJ20" s="3">
        <f t="shared" si="6"/>
        <v>11.279194079024666</v>
      </c>
      <c r="BK20" s="3">
        <f t="shared" si="7"/>
        <v>205.80889789529334</v>
      </c>
      <c r="BL20" s="3">
        <f t="shared" si="8"/>
        <v>10.299649417099925</v>
      </c>
      <c r="BM20" s="3">
        <f t="shared" si="9"/>
        <v>35.861812244406138</v>
      </c>
      <c r="BN20" s="3">
        <f t="shared" si="10"/>
        <v>12.318883539584807</v>
      </c>
      <c r="BO20" s="3">
        <f t="shared" si="11"/>
        <v>63.46435304926689</v>
      </c>
      <c r="BP20" s="3">
        <f t="shared" si="12"/>
        <v>46.571915793505347</v>
      </c>
      <c r="BQ20" s="3">
        <f t="shared" si="13"/>
        <v>20.04498093722313</v>
      </c>
      <c r="BR20" s="3">
        <f t="shared" si="14"/>
        <v>0</v>
      </c>
      <c r="BS20" s="3">
        <f t="shared" si="15"/>
        <v>106.75684852596964</v>
      </c>
      <c r="BT20" s="3">
        <f t="shared" si="16"/>
        <v>60.243776441370002</v>
      </c>
      <c r="BU20" s="3">
        <f t="shared" si="17"/>
        <v>62.008357693144411</v>
      </c>
      <c r="BV20" s="3">
        <f t="shared" si="18"/>
        <v>0</v>
      </c>
      <c r="BW20" s="3">
        <f t="shared" si="19"/>
        <v>95.972425751047069</v>
      </c>
      <c r="BX20" s="3">
        <f t="shared" si="20"/>
        <v>73.850378542270334</v>
      </c>
      <c r="BY20" s="3">
        <f t="shared" si="21"/>
        <v>45.3675566016978</v>
      </c>
      <c r="BZ20" s="3">
        <f t="shared" si="22"/>
        <v>30.089214521054927</v>
      </c>
      <c r="CA20" s="15">
        <f t="shared" si="23"/>
        <v>8.8066204414479792</v>
      </c>
      <c r="CB20" s="15">
        <f t="shared" si="24"/>
        <v>5.2505761158687072</v>
      </c>
      <c r="CC20" s="15">
        <f t="shared" si="25"/>
        <v>3.3464773044198233</v>
      </c>
      <c r="CD20">
        <f t="shared" si="27"/>
        <v>-0.98508475909689974</v>
      </c>
    </row>
    <row r="21" spans="1:82" x14ac:dyDescent="0.25">
      <c r="A21">
        <v>4751</v>
      </c>
      <c r="B21" t="s">
        <v>330</v>
      </c>
      <c r="C21">
        <v>5680.3560289999996</v>
      </c>
      <c r="D21">
        <v>-1.1957388710000001</v>
      </c>
      <c r="E21">
        <v>0.47976600899999999</v>
      </c>
      <c r="F21">
        <v>29.628949840000001</v>
      </c>
      <c r="G21" s="7">
        <v>1.6500000000000001E-6</v>
      </c>
      <c r="H21" s="7">
        <v>4.3600000000000003E-5</v>
      </c>
      <c r="I21" s="5" t="s">
        <v>331</v>
      </c>
      <c r="J21" t="s">
        <v>392</v>
      </c>
      <c r="K21">
        <v>652</v>
      </c>
      <c r="L21">
        <v>249557</v>
      </c>
      <c r="M21">
        <v>485.22699999999998</v>
      </c>
      <c r="N21">
        <v>6037</v>
      </c>
      <c r="O21">
        <v>4.2000000000000003E-2</v>
      </c>
      <c r="P21" t="s">
        <v>88</v>
      </c>
      <c r="Q21" t="s">
        <v>393</v>
      </c>
      <c r="R21">
        <v>228332</v>
      </c>
      <c r="S21">
        <v>2E-3</v>
      </c>
      <c r="T21">
        <v>21</v>
      </c>
      <c r="U21" t="s">
        <v>49</v>
      </c>
      <c r="V21">
        <v>-1</v>
      </c>
      <c r="W21">
        <v>359</v>
      </c>
      <c r="X21">
        <v>41</v>
      </c>
      <c r="Y21">
        <v>311</v>
      </c>
      <c r="Z21">
        <v>245687</v>
      </c>
      <c r="AA21">
        <v>2707</v>
      </c>
      <c r="AB21">
        <v>279</v>
      </c>
      <c r="AC21">
        <v>173</v>
      </c>
      <c r="AD21">
        <v>249557</v>
      </c>
      <c r="AE21">
        <v>10617</v>
      </c>
      <c r="AF21">
        <v>9042</v>
      </c>
      <c r="AG21">
        <v>2563</v>
      </c>
      <c r="AH21">
        <v>584</v>
      </c>
      <c r="AI21">
        <v>3973</v>
      </c>
      <c r="AJ21">
        <v>5608</v>
      </c>
      <c r="AK21">
        <v>8945</v>
      </c>
      <c r="AL21">
        <v>2419</v>
      </c>
      <c r="AM21">
        <v>7276</v>
      </c>
      <c r="AN21">
        <v>3082</v>
      </c>
      <c r="AO21">
        <v>2118</v>
      </c>
      <c r="AP21">
        <v>7164</v>
      </c>
      <c r="AQ21">
        <v>2632</v>
      </c>
      <c r="AR21">
        <v>14341</v>
      </c>
      <c r="AS21">
        <v>2566</v>
      </c>
      <c r="AT21">
        <v>2739</v>
      </c>
      <c r="AU21">
        <v>8036</v>
      </c>
      <c r="AV21">
        <v>5530</v>
      </c>
      <c r="AW21">
        <v>3744</v>
      </c>
      <c r="AX21">
        <v>4026</v>
      </c>
      <c r="AY21">
        <v>17324</v>
      </c>
      <c r="AZ21">
        <v>12269</v>
      </c>
      <c r="BA21">
        <v>2514</v>
      </c>
      <c r="BB21">
        <v>293</v>
      </c>
      <c r="BC21" s="3">
        <f t="shared" si="26"/>
        <v>119637.13337393732</v>
      </c>
      <c r="BD21" s="3">
        <f t="shared" si="0"/>
        <v>26015.120533560283</v>
      </c>
      <c r="BE21" s="3">
        <f t="shared" si="1"/>
        <v>8123.548941767498</v>
      </c>
      <c r="BF21" s="3">
        <f t="shared" si="2"/>
        <v>4455.3148702236967</v>
      </c>
      <c r="BG21" s="3">
        <f t="shared" si="3"/>
        <v>59627.12411311594</v>
      </c>
      <c r="BH21" s="3">
        <f t="shared" si="4"/>
        <v>41238.326347525552</v>
      </c>
      <c r="BI21" s="3">
        <f t="shared" si="5"/>
        <v>32289.271442855752</v>
      </c>
      <c r="BJ21" s="3">
        <f t="shared" si="6"/>
        <v>9094.7901590535548</v>
      </c>
      <c r="BK21" s="3">
        <f t="shared" si="7"/>
        <v>28254.066812946312</v>
      </c>
      <c r="BL21" s="3">
        <f t="shared" si="8"/>
        <v>10581.173167833989</v>
      </c>
      <c r="BM21" s="3">
        <f t="shared" si="9"/>
        <v>7595.5318333652203</v>
      </c>
      <c r="BN21" s="3">
        <f t="shared" si="10"/>
        <v>22063.120419396389</v>
      </c>
      <c r="BO21" s="3">
        <f t="shared" si="11"/>
        <v>12849.090555820805</v>
      </c>
      <c r="BP21" s="3">
        <f t="shared" si="12"/>
        <v>26715.513775786407</v>
      </c>
      <c r="BQ21" s="3">
        <f t="shared" si="13"/>
        <v>12858.855271228636</v>
      </c>
      <c r="BR21" s="3">
        <f t="shared" si="14"/>
        <v>12714.531609467522</v>
      </c>
      <c r="BS21" s="3">
        <f t="shared" si="15"/>
        <v>47661.001930816223</v>
      </c>
      <c r="BT21" s="3">
        <f t="shared" si="16"/>
        <v>27762.340310064676</v>
      </c>
      <c r="BU21" s="3">
        <f t="shared" si="17"/>
        <v>19346.607600261057</v>
      </c>
      <c r="BV21" s="3">
        <f t="shared" si="18"/>
        <v>9590.0320834928298</v>
      </c>
      <c r="BW21" s="3">
        <f t="shared" si="19"/>
        <v>79172.681129101882</v>
      </c>
      <c r="BX21" s="3">
        <f t="shared" si="20"/>
        <v>36242.811773404588</v>
      </c>
      <c r="BY21" s="3">
        <f t="shared" si="21"/>
        <v>19009.006216111382</v>
      </c>
      <c r="BZ21" s="3">
        <f t="shared" si="22"/>
        <v>8816.1398546690943</v>
      </c>
      <c r="CA21" s="15">
        <f t="shared" si="23"/>
        <v>5.2027672150844388</v>
      </c>
      <c r="CB21" s="15">
        <f t="shared" si="24"/>
        <v>2.5257809399700273</v>
      </c>
      <c r="CC21" s="15">
        <f t="shared" si="25"/>
        <v>1.4868421925387649</v>
      </c>
      <c r="CD21">
        <f t="shared" si="27"/>
        <v>-0.96910619109303064</v>
      </c>
    </row>
    <row r="22" spans="1:82" x14ac:dyDescent="0.25">
      <c r="A22">
        <v>10863</v>
      </c>
      <c r="B22" t="s">
        <v>332</v>
      </c>
      <c r="C22">
        <v>383.76361680000002</v>
      </c>
      <c r="D22">
        <v>-0.29851916499999998</v>
      </c>
      <c r="E22">
        <v>0.410011713</v>
      </c>
      <c r="F22">
        <v>29.61670385</v>
      </c>
      <c r="G22" s="7">
        <v>1.66E-6</v>
      </c>
      <c r="H22" s="7">
        <v>4.3800000000000001E-5</v>
      </c>
      <c r="I22" s="5" t="s">
        <v>333</v>
      </c>
      <c r="J22" t="s">
        <v>394</v>
      </c>
      <c r="K22">
        <v>272</v>
      </c>
      <c r="L22">
        <v>129583</v>
      </c>
      <c r="M22">
        <v>251.95500000000001</v>
      </c>
      <c r="N22">
        <v>112912</v>
      </c>
      <c r="O22">
        <v>0.69799999999999995</v>
      </c>
      <c r="P22" t="s">
        <v>47</v>
      </c>
      <c r="Q22" t="s">
        <v>395</v>
      </c>
      <c r="R22">
        <v>45988</v>
      </c>
      <c r="S22">
        <v>7.0000000000000001E-3</v>
      </c>
      <c r="T22">
        <v>21</v>
      </c>
      <c r="U22" t="s">
        <v>95</v>
      </c>
      <c r="V22">
        <v>464.7</v>
      </c>
      <c r="W22">
        <v>3064</v>
      </c>
      <c r="X22">
        <v>145</v>
      </c>
      <c r="Y22">
        <v>21519</v>
      </c>
      <c r="Z22">
        <v>98496</v>
      </c>
      <c r="AA22">
        <v>4703</v>
      </c>
      <c r="AB22">
        <v>1385</v>
      </c>
      <c r="AC22">
        <v>271</v>
      </c>
      <c r="AD22">
        <v>129583</v>
      </c>
      <c r="AE22">
        <v>452</v>
      </c>
      <c r="AF22">
        <v>802</v>
      </c>
      <c r="AG22">
        <v>614</v>
      </c>
      <c r="AH22">
        <v>50</v>
      </c>
      <c r="AI22">
        <v>109</v>
      </c>
      <c r="AJ22">
        <v>843</v>
      </c>
      <c r="AK22">
        <v>700</v>
      </c>
      <c r="AL22">
        <v>273</v>
      </c>
      <c r="AM22">
        <v>1365</v>
      </c>
      <c r="AN22">
        <v>276</v>
      </c>
      <c r="AO22">
        <v>128</v>
      </c>
      <c r="AP22">
        <v>382</v>
      </c>
      <c r="AQ22">
        <v>443</v>
      </c>
      <c r="AR22">
        <v>1543</v>
      </c>
      <c r="AS22">
        <v>295</v>
      </c>
      <c r="AT22">
        <v>178</v>
      </c>
      <c r="AU22">
        <v>402</v>
      </c>
      <c r="AV22">
        <v>375</v>
      </c>
      <c r="AW22">
        <v>139</v>
      </c>
      <c r="AX22">
        <v>165</v>
      </c>
      <c r="AY22">
        <v>588</v>
      </c>
      <c r="AZ22">
        <v>915</v>
      </c>
      <c r="BA22">
        <v>104</v>
      </c>
      <c r="BB22">
        <v>28</v>
      </c>
      <c r="BC22" s="3">
        <f t="shared" si="26"/>
        <v>5093.3393882471191</v>
      </c>
      <c r="BD22" s="3">
        <f t="shared" si="0"/>
        <v>2307.4681119127786</v>
      </c>
      <c r="BE22" s="3">
        <f t="shared" si="1"/>
        <v>1946.101853392604</v>
      </c>
      <c r="BF22" s="3">
        <f t="shared" si="2"/>
        <v>381.44819094380966</v>
      </c>
      <c r="BG22" s="3">
        <f t="shared" si="3"/>
        <v>1635.8813310671126</v>
      </c>
      <c r="BH22" s="3">
        <f t="shared" si="4"/>
        <v>6198.9852195014337</v>
      </c>
      <c r="BI22" s="3">
        <f t="shared" si="5"/>
        <v>2526.8295148126358</v>
      </c>
      <c r="BJ22" s="3">
        <f t="shared" si="6"/>
        <v>1026.4066611912444</v>
      </c>
      <c r="BK22" s="3">
        <f t="shared" si="7"/>
        <v>5300.5499174919887</v>
      </c>
      <c r="BL22" s="3">
        <f t="shared" si="8"/>
        <v>947.56774637319313</v>
      </c>
      <c r="BM22" s="3">
        <f t="shared" si="9"/>
        <v>459.03119672839858</v>
      </c>
      <c r="BN22" s="3">
        <f t="shared" si="10"/>
        <v>1176.4533780303491</v>
      </c>
      <c r="BO22" s="3">
        <f t="shared" si="11"/>
        <v>2162.6698769865561</v>
      </c>
      <c r="BP22" s="3">
        <f t="shared" si="12"/>
        <v>2874.4186427751492</v>
      </c>
      <c r="BQ22" s="3">
        <f t="shared" si="13"/>
        <v>1478.3173441202057</v>
      </c>
      <c r="BR22" s="3">
        <f t="shared" si="14"/>
        <v>826.28208341921095</v>
      </c>
      <c r="BS22" s="3">
        <f t="shared" si="15"/>
        <v>2384.2362837466553</v>
      </c>
      <c r="BT22" s="3">
        <f t="shared" si="16"/>
        <v>1882.6180137928127</v>
      </c>
      <c r="BU22" s="3">
        <f t="shared" si="17"/>
        <v>718.263476612256</v>
      </c>
      <c r="BV22" s="3">
        <f t="shared" si="18"/>
        <v>393.03410178249305</v>
      </c>
      <c r="BW22" s="3">
        <f t="shared" si="19"/>
        <v>2687.2279210293182</v>
      </c>
      <c r="BX22" s="3">
        <f t="shared" si="20"/>
        <v>2702.9238546470942</v>
      </c>
      <c r="BY22" s="3">
        <f t="shared" si="21"/>
        <v>786.37098109609531</v>
      </c>
      <c r="BZ22" s="3">
        <f t="shared" si="22"/>
        <v>842.49800658953791</v>
      </c>
      <c r="CA22" s="15">
        <f t="shared" si="23"/>
        <v>4.1462327009575546</v>
      </c>
      <c r="CB22" s="15">
        <f t="shared" si="24"/>
        <v>3.6404511230849992</v>
      </c>
      <c r="CC22" s="15">
        <f t="shared" si="25"/>
        <v>1.7035526936091685</v>
      </c>
      <c r="CD22">
        <f t="shared" si="27"/>
        <v>-0.94727454586861715</v>
      </c>
    </row>
    <row r="23" spans="1:82" x14ac:dyDescent="0.25">
      <c r="A23">
        <v>26333</v>
      </c>
      <c r="B23" t="s">
        <v>256</v>
      </c>
      <c r="C23">
        <v>56.611921080000002</v>
      </c>
      <c r="D23">
        <v>-1.175751939</v>
      </c>
      <c r="E23">
        <v>0.39664191900000001</v>
      </c>
      <c r="F23">
        <v>29.606275960000001</v>
      </c>
      <c r="G23" s="7">
        <v>1.6700000000000001E-6</v>
      </c>
      <c r="H23" s="7">
        <v>4.3800000000000001E-5</v>
      </c>
      <c r="I23" s="5" t="s">
        <v>257</v>
      </c>
      <c r="J23" t="s">
        <v>258</v>
      </c>
      <c r="K23">
        <v>212</v>
      </c>
      <c r="L23">
        <v>6572</v>
      </c>
      <c r="M23">
        <v>12.778</v>
      </c>
      <c r="N23">
        <v>3363</v>
      </c>
      <c r="O23">
        <v>7.2999999999999995E-2</v>
      </c>
      <c r="P23" t="s">
        <v>88</v>
      </c>
      <c r="Q23" t="s">
        <v>259</v>
      </c>
      <c r="R23">
        <v>2483</v>
      </c>
      <c r="S23">
        <v>3.9E-2</v>
      </c>
      <c r="T23">
        <v>20</v>
      </c>
      <c r="U23" t="s">
        <v>221</v>
      </c>
      <c r="V23">
        <v>-1</v>
      </c>
      <c r="W23">
        <v>100</v>
      </c>
      <c r="X23">
        <v>12</v>
      </c>
      <c r="Y23">
        <v>2946</v>
      </c>
      <c r="Z23">
        <v>2805</v>
      </c>
      <c r="AA23">
        <v>192</v>
      </c>
      <c r="AB23">
        <v>164</v>
      </c>
      <c r="AC23">
        <v>353</v>
      </c>
      <c r="AD23">
        <v>6572</v>
      </c>
      <c r="AE23">
        <v>59</v>
      </c>
      <c r="AF23">
        <v>82</v>
      </c>
      <c r="AG23">
        <v>113</v>
      </c>
      <c r="AH23">
        <v>13</v>
      </c>
      <c r="AI23">
        <v>27</v>
      </c>
      <c r="AJ23">
        <v>41</v>
      </c>
      <c r="AK23">
        <v>53</v>
      </c>
      <c r="AL23">
        <v>90</v>
      </c>
      <c r="AM23">
        <v>93</v>
      </c>
      <c r="AN23">
        <v>80</v>
      </c>
      <c r="AO23">
        <v>23</v>
      </c>
      <c r="AP23">
        <v>23</v>
      </c>
      <c r="AQ23">
        <v>61</v>
      </c>
      <c r="AR23">
        <v>139</v>
      </c>
      <c r="AS23">
        <v>18</v>
      </c>
      <c r="AT23">
        <v>26</v>
      </c>
      <c r="AU23">
        <v>157</v>
      </c>
      <c r="AV23">
        <v>30</v>
      </c>
      <c r="AW23">
        <v>58</v>
      </c>
      <c r="AX23">
        <v>30</v>
      </c>
      <c r="AY23">
        <v>124</v>
      </c>
      <c r="AZ23">
        <v>116</v>
      </c>
      <c r="BA23">
        <v>31</v>
      </c>
      <c r="BB23">
        <v>6</v>
      </c>
      <c r="BC23" s="3">
        <f t="shared" si="26"/>
        <v>664.83854846588497</v>
      </c>
      <c r="BD23" s="3">
        <f t="shared" si="0"/>
        <v>235.92566730280282</v>
      </c>
      <c r="BE23" s="3">
        <f t="shared" si="1"/>
        <v>358.158810152059</v>
      </c>
      <c r="BF23" s="3">
        <f t="shared" si="2"/>
        <v>99.176529645390502</v>
      </c>
      <c r="BG23" s="3">
        <f t="shared" si="3"/>
        <v>405.21831136524804</v>
      </c>
      <c r="BH23" s="3">
        <f t="shared" si="4"/>
        <v>301.49275682035443</v>
      </c>
      <c r="BI23" s="3">
        <f t="shared" si="5"/>
        <v>191.31709183581384</v>
      </c>
      <c r="BJ23" s="3">
        <f t="shared" si="6"/>
        <v>338.37582237073997</v>
      </c>
      <c r="BK23" s="3">
        <f t="shared" si="7"/>
        <v>361.13636800494874</v>
      </c>
      <c r="BL23" s="3">
        <f t="shared" si="8"/>
        <v>274.65731778933127</v>
      </c>
      <c r="BM23" s="3">
        <f t="shared" si="9"/>
        <v>82.482168162134116</v>
      </c>
      <c r="BN23" s="3">
        <f t="shared" si="10"/>
        <v>70.833580352612643</v>
      </c>
      <c r="BO23" s="3">
        <f t="shared" si="11"/>
        <v>297.79427200040618</v>
      </c>
      <c r="BP23" s="3">
        <f t="shared" si="12"/>
        <v>258.9398518118897</v>
      </c>
      <c r="BQ23" s="3">
        <f t="shared" si="13"/>
        <v>90.202414217504071</v>
      </c>
      <c r="BR23" s="3">
        <f t="shared" si="14"/>
        <v>120.69288858932295</v>
      </c>
      <c r="BS23" s="3">
        <f t="shared" si="15"/>
        <v>931.15695658762411</v>
      </c>
      <c r="BT23" s="3">
        <f t="shared" si="16"/>
        <v>150.60944110342501</v>
      </c>
      <c r="BU23" s="3">
        <f t="shared" si="17"/>
        <v>299.70706218353132</v>
      </c>
      <c r="BV23" s="3">
        <f t="shared" si="18"/>
        <v>71.460745778635086</v>
      </c>
      <c r="BW23" s="3">
        <f t="shared" si="19"/>
        <v>566.69432348237319</v>
      </c>
      <c r="BX23" s="3">
        <f t="shared" si="20"/>
        <v>342.6657564361343</v>
      </c>
      <c r="BY23" s="3">
        <f t="shared" si="21"/>
        <v>234.39904244210533</v>
      </c>
      <c r="BZ23" s="3">
        <f t="shared" si="22"/>
        <v>180.53528712632959</v>
      </c>
      <c r="CA23" s="15">
        <f t="shared" si="23"/>
        <v>3.6623889170807264</v>
      </c>
      <c r="CB23" s="15">
        <f t="shared" si="24"/>
        <v>1.7754346119462823</v>
      </c>
      <c r="CC23" s="15">
        <f t="shared" si="25"/>
        <v>1.425834120092188</v>
      </c>
      <c r="CD23">
        <f t="shared" si="27"/>
        <v>-0.92948075254175555</v>
      </c>
    </row>
    <row r="24" spans="1:82" x14ac:dyDescent="0.25">
      <c r="A24">
        <v>31023</v>
      </c>
      <c r="B24" t="s">
        <v>334</v>
      </c>
      <c r="C24">
        <v>419.28251699999998</v>
      </c>
      <c r="D24">
        <v>-0.96528111900000002</v>
      </c>
      <c r="E24">
        <v>0.35467099899999999</v>
      </c>
      <c r="F24">
        <v>26.44300964</v>
      </c>
      <c r="G24" s="7">
        <v>7.7000000000000008E-6</v>
      </c>
      <c r="H24">
        <v>1.46315E-4</v>
      </c>
      <c r="I24" s="5" t="s">
        <v>335</v>
      </c>
      <c r="J24" t="s">
        <v>396</v>
      </c>
      <c r="K24">
        <v>518</v>
      </c>
      <c r="L24">
        <v>560810</v>
      </c>
      <c r="M24">
        <v>1090.414</v>
      </c>
      <c r="N24">
        <v>560794</v>
      </c>
      <c r="O24">
        <v>1.9E-2</v>
      </c>
      <c r="P24" t="s">
        <v>88</v>
      </c>
      <c r="Q24" t="s">
        <v>397</v>
      </c>
      <c r="R24">
        <v>486400</v>
      </c>
      <c r="S24">
        <v>1E-3</v>
      </c>
      <c r="T24">
        <v>21</v>
      </c>
      <c r="U24" t="s">
        <v>38</v>
      </c>
      <c r="V24">
        <v>-1</v>
      </c>
      <c r="W24">
        <v>998</v>
      </c>
      <c r="X24">
        <v>169</v>
      </c>
      <c r="Y24">
        <v>6154</v>
      </c>
      <c r="Z24">
        <v>537568</v>
      </c>
      <c r="AA24">
        <v>14483</v>
      </c>
      <c r="AB24">
        <v>1018</v>
      </c>
      <c r="AC24">
        <v>420</v>
      </c>
      <c r="AD24">
        <v>560810</v>
      </c>
      <c r="AE24">
        <v>506</v>
      </c>
      <c r="AF24">
        <v>660</v>
      </c>
      <c r="AG24">
        <v>522</v>
      </c>
      <c r="AH24">
        <v>132</v>
      </c>
      <c r="AI24">
        <v>97</v>
      </c>
      <c r="AJ24">
        <v>331</v>
      </c>
      <c r="AK24">
        <v>599</v>
      </c>
      <c r="AL24">
        <v>477</v>
      </c>
      <c r="AM24">
        <v>1655</v>
      </c>
      <c r="AN24">
        <v>448</v>
      </c>
      <c r="AO24">
        <v>416</v>
      </c>
      <c r="AP24">
        <v>701</v>
      </c>
      <c r="AQ24">
        <v>489</v>
      </c>
      <c r="AR24">
        <v>1022</v>
      </c>
      <c r="AS24">
        <v>258</v>
      </c>
      <c r="AT24">
        <v>221</v>
      </c>
      <c r="AU24">
        <v>517</v>
      </c>
      <c r="AV24">
        <v>227</v>
      </c>
      <c r="AW24">
        <v>188</v>
      </c>
      <c r="AX24">
        <v>193</v>
      </c>
      <c r="AY24">
        <v>899</v>
      </c>
      <c r="AZ24">
        <v>1176</v>
      </c>
      <c r="BA24">
        <v>260</v>
      </c>
      <c r="BB24">
        <v>28</v>
      </c>
      <c r="BC24" s="3">
        <f t="shared" si="26"/>
        <v>5701.8356868430137</v>
      </c>
      <c r="BD24" s="3">
        <f t="shared" si="0"/>
        <v>1898.9139075591447</v>
      </c>
      <c r="BE24" s="3">
        <f t="shared" si="1"/>
        <v>1654.5035300829629</v>
      </c>
      <c r="BF24" s="3">
        <f t="shared" si="2"/>
        <v>1007.0232240916574</v>
      </c>
      <c r="BG24" s="3">
        <f t="shared" si="3"/>
        <v>1455.7843037936689</v>
      </c>
      <c r="BH24" s="3">
        <f t="shared" si="4"/>
        <v>2434.0025001838371</v>
      </c>
      <c r="BI24" s="3">
        <f t="shared" si="5"/>
        <v>2162.2441133896696</v>
      </c>
      <c r="BJ24" s="3">
        <f t="shared" si="6"/>
        <v>1793.3918585649219</v>
      </c>
      <c r="BK24" s="3">
        <f t="shared" si="7"/>
        <v>6426.6740757869911</v>
      </c>
      <c r="BL24" s="3">
        <f t="shared" si="8"/>
        <v>1538.0809796202552</v>
      </c>
      <c r="BM24" s="3">
        <f t="shared" si="9"/>
        <v>1491.8513893672955</v>
      </c>
      <c r="BN24" s="3">
        <f t="shared" si="10"/>
        <v>2158.8843403122373</v>
      </c>
      <c r="BO24" s="3">
        <f t="shared" si="11"/>
        <v>2387.2360493147316</v>
      </c>
      <c r="BP24" s="3">
        <f t="shared" si="12"/>
        <v>1903.8599176384985</v>
      </c>
      <c r="BQ24" s="3">
        <f t="shared" si="13"/>
        <v>1292.9012704508918</v>
      </c>
      <c r="BR24" s="3">
        <f t="shared" si="14"/>
        <v>1025.889553009245</v>
      </c>
      <c r="BS24" s="3">
        <f t="shared" si="15"/>
        <v>3066.2939271070168</v>
      </c>
      <c r="BT24" s="3">
        <f t="shared" si="16"/>
        <v>1139.6114376825826</v>
      </c>
      <c r="BU24" s="3">
        <f t="shared" si="17"/>
        <v>971.46427052592912</v>
      </c>
      <c r="BV24" s="3">
        <f t="shared" si="18"/>
        <v>459.73079784255248</v>
      </c>
      <c r="BW24" s="3">
        <f t="shared" si="19"/>
        <v>4108.5338452472051</v>
      </c>
      <c r="BX24" s="3">
        <f t="shared" si="20"/>
        <v>3473.9218066283966</v>
      </c>
      <c r="BY24" s="3">
        <f t="shared" si="21"/>
        <v>1965.9274527402383</v>
      </c>
      <c r="BZ24" s="3">
        <f t="shared" si="22"/>
        <v>842.49800658953791</v>
      </c>
      <c r="CA24" s="15">
        <f t="shared" si="23"/>
        <v>3.1762084438625253</v>
      </c>
      <c r="CB24" s="15">
        <f t="shared" si="24"/>
        <v>1.6999698552503559</v>
      </c>
      <c r="CC24" s="15">
        <f t="shared" si="25"/>
        <v>1.3089536395455725</v>
      </c>
      <c r="CD24">
        <f t="shared" si="27"/>
        <v>-0.9480515591080193</v>
      </c>
    </row>
    <row r="25" spans="1:82" x14ac:dyDescent="0.25">
      <c r="A25">
        <v>32849</v>
      </c>
      <c r="B25" t="s">
        <v>336</v>
      </c>
      <c r="C25">
        <v>2.495538743</v>
      </c>
      <c r="D25">
        <v>-2.3907974859999999</v>
      </c>
      <c r="E25">
        <v>1.106788203</v>
      </c>
      <c r="F25">
        <v>25.275912309999999</v>
      </c>
      <c r="G25" s="7">
        <v>1.3499999999999999E-5</v>
      </c>
      <c r="H25">
        <v>2.2943400000000001E-4</v>
      </c>
      <c r="I25" s="5" t="s">
        <v>489</v>
      </c>
      <c r="J25" t="s">
        <v>398</v>
      </c>
      <c r="K25">
        <v>204</v>
      </c>
      <c r="L25">
        <v>310</v>
      </c>
      <c r="M25">
        <v>0.60299999999999998</v>
      </c>
      <c r="N25">
        <v>272</v>
      </c>
      <c r="O25">
        <v>0.83899999999999997</v>
      </c>
      <c r="P25" t="s">
        <v>36</v>
      </c>
      <c r="Q25" t="s">
        <v>399</v>
      </c>
      <c r="R25">
        <v>195</v>
      </c>
      <c r="S25">
        <v>0.184</v>
      </c>
      <c r="T25">
        <v>22</v>
      </c>
      <c r="U25" t="s">
        <v>400</v>
      </c>
      <c r="V25">
        <v>-1</v>
      </c>
      <c r="W25">
        <v>1</v>
      </c>
      <c r="X25">
        <v>1</v>
      </c>
      <c r="Y25">
        <v>1</v>
      </c>
      <c r="Z25">
        <v>6</v>
      </c>
      <c r="AA25">
        <v>235</v>
      </c>
      <c r="AB25">
        <v>5</v>
      </c>
      <c r="AC25">
        <v>61</v>
      </c>
      <c r="AD25">
        <v>310</v>
      </c>
      <c r="AE25">
        <v>2</v>
      </c>
      <c r="AF25">
        <v>3</v>
      </c>
      <c r="AG25">
        <v>1</v>
      </c>
      <c r="AH25">
        <v>0</v>
      </c>
      <c r="AI25">
        <v>3</v>
      </c>
      <c r="AJ25">
        <v>0</v>
      </c>
      <c r="AK25">
        <v>0</v>
      </c>
      <c r="AL25">
        <v>0</v>
      </c>
      <c r="AM25">
        <v>9</v>
      </c>
      <c r="AN25">
        <v>0</v>
      </c>
      <c r="AO25">
        <v>0</v>
      </c>
      <c r="AP25">
        <v>1</v>
      </c>
      <c r="AQ25">
        <v>21</v>
      </c>
      <c r="AR25">
        <v>0</v>
      </c>
      <c r="AS25">
        <v>0</v>
      </c>
      <c r="AT25">
        <v>0</v>
      </c>
      <c r="AU25">
        <v>6</v>
      </c>
      <c r="AV25">
        <v>6</v>
      </c>
      <c r="AW25">
        <v>0</v>
      </c>
      <c r="AX25">
        <v>0</v>
      </c>
      <c r="AY25">
        <v>1</v>
      </c>
      <c r="AZ25">
        <v>3</v>
      </c>
      <c r="BA25">
        <v>0</v>
      </c>
      <c r="BB25">
        <v>0</v>
      </c>
      <c r="BC25" s="3">
        <f t="shared" si="26"/>
        <v>22.536899947996101</v>
      </c>
      <c r="BD25" s="3">
        <f t="shared" si="0"/>
        <v>8.6314268525415674</v>
      </c>
      <c r="BE25" s="3">
        <f t="shared" si="1"/>
        <v>3.1695469924960973</v>
      </c>
      <c r="BF25" s="3">
        <f t="shared" si="2"/>
        <v>0</v>
      </c>
      <c r="BG25" s="3">
        <f t="shared" si="3"/>
        <v>45.02425681836089</v>
      </c>
      <c r="BH25" s="3">
        <f t="shared" si="4"/>
        <v>0</v>
      </c>
      <c r="BI25" s="3">
        <f t="shared" si="5"/>
        <v>0</v>
      </c>
      <c r="BJ25" s="3">
        <f t="shared" si="6"/>
        <v>0</v>
      </c>
      <c r="BK25" s="3">
        <f t="shared" si="7"/>
        <v>34.948680774672461</v>
      </c>
      <c r="BL25" s="3">
        <f t="shared" si="8"/>
        <v>0</v>
      </c>
      <c r="BM25" s="3">
        <f t="shared" si="9"/>
        <v>0</v>
      </c>
      <c r="BN25" s="3">
        <f t="shared" si="10"/>
        <v>3.0797208848962017</v>
      </c>
      <c r="BO25" s="3">
        <f t="shared" si="11"/>
        <v>102.51933954112343</v>
      </c>
      <c r="BP25" s="3">
        <f t="shared" si="12"/>
        <v>0</v>
      </c>
      <c r="BQ25" s="3">
        <f t="shared" si="13"/>
        <v>0</v>
      </c>
      <c r="BR25" s="3">
        <f t="shared" si="14"/>
        <v>0</v>
      </c>
      <c r="BS25" s="3">
        <f t="shared" si="15"/>
        <v>35.58561617532321</v>
      </c>
      <c r="BT25" s="3">
        <f t="shared" si="16"/>
        <v>30.121888220685001</v>
      </c>
      <c r="BU25" s="3">
        <f t="shared" si="17"/>
        <v>0</v>
      </c>
      <c r="BV25" s="3">
        <f t="shared" si="18"/>
        <v>0</v>
      </c>
      <c r="BW25" s="3">
        <f t="shared" si="19"/>
        <v>4.5701155119546222</v>
      </c>
      <c r="BX25" s="3">
        <f t="shared" si="20"/>
        <v>8.8620454250724396</v>
      </c>
      <c r="BY25" s="3">
        <f t="shared" si="21"/>
        <v>0</v>
      </c>
      <c r="BZ25" s="3">
        <f t="shared" si="22"/>
        <v>0</v>
      </c>
      <c r="CA25" s="15">
        <f t="shared" si="23"/>
        <v>79.612704505750813</v>
      </c>
      <c r="CB25" s="15">
        <f t="shared" si="24"/>
        <v>15.460933726760054</v>
      </c>
      <c r="CC25" s="15">
        <f t="shared" si="25"/>
        <v>1.0291669638116971</v>
      </c>
      <c r="CD25">
        <f t="shared" si="27"/>
        <v>-0.93929327052963374</v>
      </c>
    </row>
    <row r="26" spans="1:82" x14ac:dyDescent="0.25">
      <c r="A26">
        <v>533</v>
      </c>
      <c r="B26" t="s">
        <v>128</v>
      </c>
      <c r="C26">
        <v>8.4130612350000007</v>
      </c>
      <c r="D26">
        <v>-0.59830326199999995</v>
      </c>
      <c r="E26">
        <v>0.79388889100000004</v>
      </c>
      <c r="F26">
        <v>22.624691640000002</v>
      </c>
      <c r="G26" s="7">
        <v>4.8399999999999997E-5</v>
      </c>
      <c r="H26">
        <v>6.2316300000000004E-4</v>
      </c>
      <c r="I26" s="5" t="s">
        <v>129</v>
      </c>
      <c r="J26" t="s">
        <v>130</v>
      </c>
      <c r="K26">
        <v>157</v>
      </c>
      <c r="L26">
        <v>55613</v>
      </c>
      <c r="M26">
        <v>108.131</v>
      </c>
      <c r="N26">
        <v>55099</v>
      </c>
      <c r="O26">
        <v>5.8000000000000003E-2</v>
      </c>
      <c r="P26" t="s">
        <v>88</v>
      </c>
      <c r="Q26" t="s">
        <v>131</v>
      </c>
      <c r="R26">
        <v>27887</v>
      </c>
      <c r="S26">
        <v>8.0000000000000002E-3</v>
      </c>
      <c r="T26">
        <v>21</v>
      </c>
      <c r="U26" t="s">
        <v>43</v>
      </c>
      <c r="V26">
        <v>-1</v>
      </c>
      <c r="W26">
        <v>175</v>
      </c>
      <c r="X26">
        <v>106</v>
      </c>
      <c r="Y26">
        <v>882</v>
      </c>
      <c r="Z26">
        <v>32318</v>
      </c>
      <c r="AA26">
        <v>20085</v>
      </c>
      <c r="AB26">
        <v>1689</v>
      </c>
      <c r="AC26">
        <v>358</v>
      </c>
      <c r="AD26">
        <v>55613</v>
      </c>
      <c r="AE26">
        <v>6</v>
      </c>
      <c r="AF26">
        <v>9</v>
      </c>
      <c r="AG26">
        <v>10</v>
      </c>
      <c r="AH26">
        <v>0</v>
      </c>
      <c r="AI26">
        <v>2</v>
      </c>
      <c r="AJ26">
        <v>12</v>
      </c>
      <c r="AK26">
        <v>6</v>
      </c>
      <c r="AL26">
        <v>10</v>
      </c>
      <c r="AM26">
        <v>23</v>
      </c>
      <c r="AN26">
        <v>3</v>
      </c>
      <c r="AO26">
        <v>2</v>
      </c>
      <c r="AP26">
        <v>0</v>
      </c>
      <c r="AQ26">
        <v>10</v>
      </c>
      <c r="AR26">
        <v>26</v>
      </c>
      <c r="AS26">
        <v>0</v>
      </c>
      <c r="AT26">
        <v>4</v>
      </c>
      <c r="AU26">
        <v>17</v>
      </c>
      <c r="AV26">
        <v>7</v>
      </c>
      <c r="AW26">
        <v>0</v>
      </c>
      <c r="AX26">
        <v>0</v>
      </c>
      <c r="AY26">
        <v>43</v>
      </c>
      <c r="AZ26">
        <v>63</v>
      </c>
      <c r="BA26">
        <v>0</v>
      </c>
      <c r="BB26">
        <v>0</v>
      </c>
      <c r="BC26" s="3">
        <f t="shared" si="26"/>
        <v>67.610699843988314</v>
      </c>
      <c r="BD26" s="3">
        <f t="shared" si="0"/>
        <v>25.8942805576247</v>
      </c>
      <c r="BE26" s="3">
        <f t="shared" si="1"/>
        <v>31.695469924960975</v>
      </c>
      <c r="BF26" s="3">
        <f t="shared" si="2"/>
        <v>0</v>
      </c>
      <c r="BG26" s="3">
        <f t="shared" si="3"/>
        <v>30.016171212240597</v>
      </c>
      <c r="BH26" s="3">
        <f t="shared" si="4"/>
        <v>88.241782484006166</v>
      </c>
      <c r="BI26" s="3">
        <f t="shared" si="5"/>
        <v>21.658538698394018</v>
      </c>
      <c r="BJ26" s="3">
        <f t="shared" si="6"/>
        <v>37.597313596748883</v>
      </c>
      <c r="BK26" s="3">
        <f t="shared" si="7"/>
        <v>89.313295313051839</v>
      </c>
      <c r="BL26" s="3">
        <f t="shared" si="8"/>
        <v>10.299649417099925</v>
      </c>
      <c r="BM26" s="3">
        <f t="shared" si="9"/>
        <v>7.1723624488812279</v>
      </c>
      <c r="BN26" s="3">
        <f t="shared" si="10"/>
        <v>0</v>
      </c>
      <c r="BO26" s="3">
        <f t="shared" si="11"/>
        <v>48.818733114820688</v>
      </c>
      <c r="BP26" s="3">
        <f t="shared" si="12"/>
        <v>48.434792425245561</v>
      </c>
      <c r="BQ26" s="3">
        <f t="shared" si="13"/>
        <v>0</v>
      </c>
      <c r="BR26" s="3">
        <f t="shared" si="14"/>
        <v>18.568136706049685</v>
      </c>
      <c r="BS26" s="3">
        <f t="shared" si="15"/>
        <v>100.82591249674911</v>
      </c>
      <c r="BT26" s="3">
        <f t="shared" si="16"/>
        <v>35.142202924132498</v>
      </c>
      <c r="BU26" s="3">
        <f t="shared" si="17"/>
        <v>0</v>
      </c>
      <c r="BV26" s="3">
        <f t="shared" si="18"/>
        <v>0</v>
      </c>
      <c r="BW26" s="3">
        <f t="shared" si="19"/>
        <v>196.51496701404875</v>
      </c>
      <c r="BX26" s="3">
        <f t="shared" si="20"/>
        <v>186.10295392652125</v>
      </c>
      <c r="BY26" s="3">
        <f t="shared" si="21"/>
        <v>0</v>
      </c>
      <c r="BZ26" s="3">
        <f t="shared" si="22"/>
        <v>0</v>
      </c>
      <c r="CA26" s="15">
        <f t="shared" si="23"/>
        <v>9.4915962770859554</v>
      </c>
      <c r="CB26" s="15">
        <f t="shared" si="24"/>
        <v>7.0170480181299721</v>
      </c>
      <c r="CC26" s="15">
        <f t="shared" si="25"/>
        <v>1.0776441877689418</v>
      </c>
      <c r="CD26">
        <f t="shared" si="27"/>
        <v>-0.9728813697064882</v>
      </c>
    </row>
    <row r="27" spans="1:82" x14ac:dyDescent="0.25">
      <c r="A27">
        <v>40675</v>
      </c>
      <c r="B27" t="s">
        <v>275</v>
      </c>
      <c r="C27">
        <v>1058.536392</v>
      </c>
      <c r="D27">
        <v>-0.31652766700000001</v>
      </c>
      <c r="E27">
        <v>0.49826077099999999</v>
      </c>
      <c r="F27">
        <v>22.283628180000001</v>
      </c>
      <c r="G27" s="7">
        <v>5.6900000000000001E-5</v>
      </c>
      <c r="H27">
        <v>7.0998100000000005E-4</v>
      </c>
      <c r="I27" s="5" t="s">
        <v>276</v>
      </c>
      <c r="J27" t="s">
        <v>277</v>
      </c>
      <c r="K27">
        <v>201</v>
      </c>
      <c r="L27">
        <v>183405</v>
      </c>
      <c r="M27">
        <v>356.60399999999998</v>
      </c>
      <c r="N27">
        <v>182953</v>
      </c>
      <c r="O27">
        <v>1.0999999999999999E-2</v>
      </c>
      <c r="P27" t="s">
        <v>88</v>
      </c>
      <c r="Q27" t="s">
        <v>278</v>
      </c>
      <c r="R27">
        <v>115492</v>
      </c>
      <c r="S27">
        <v>2E-3</v>
      </c>
      <c r="T27">
        <v>21</v>
      </c>
      <c r="U27" t="s">
        <v>43</v>
      </c>
      <c r="V27">
        <v>-1</v>
      </c>
      <c r="W27">
        <v>83</v>
      </c>
      <c r="X27">
        <v>474</v>
      </c>
      <c r="Y27">
        <v>3375</v>
      </c>
      <c r="Z27">
        <v>167107</v>
      </c>
      <c r="AA27">
        <v>11008</v>
      </c>
      <c r="AB27">
        <v>1213</v>
      </c>
      <c r="AC27">
        <v>145</v>
      </c>
      <c r="AD27">
        <v>183405</v>
      </c>
      <c r="AE27">
        <v>502</v>
      </c>
      <c r="AF27">
        <v>8907</v>
      </c>
      <c r="AG27">
        <v>2953</v>
      </c>
      <c r="AH27">
        <v>237</v>
      </c>
      <c r="AI27">
        <v>244</v>
      </c>
      <c r="AJ27">
        <v>551</v>
      </c>
      <c r="AK27">
        <v>1032</v>
      </c>
      <c r="AL27">
        <v>977</v>
      </c>
      <c r="AM27">
        <v>2392</v>
      </c>
      <c r="AN27">
        <v>1084</v>
      </c>
      <c r="AO27">
        <v>392</v>
      </c>
      <c r="AP27">
        <v>689</v>
      </c>
      <c r="AQ27">
        <v>3551</v>
      </c>
      <c r="AR27">
        <v>1908</v>
      </c>
      <c r="AS27">
        <v>116</v>
      </c>
      <c r="AT27">
        <v>177</v>
      </c>
      <c r="AU27">
        <v>1617</v>
      </c>
      <c r="AV27">
        <v>650</v>
      </c>
      <c r="AW27">
        <v>816</v>
      </c>
      <c r="AX27">
        <v>576</v>
      </c>
      <c r="AY27">
        <v>1768</v>
      </c>
      <c r="AZ27">
        <v>2130</v>
      </c>
      <c r="BA27">
        <v>646</v>
      </c>
      <c r="BB27">
        <v>70</v>
      </c>
      <c r="BC27" s="3">
        <f t="shared" si="26"/>
        <v>5656.7618869470225</v>
      </c>
      <c r="BD27" s="3">
        <f t="shared" si="0"/>
        <v>25626.706325195915</v>
      </c>
      <c r="BE27" s="3">
        <f t="shared" si="1"/>
        <v>9359.6722688409754</v>
      </c>
      <c r="BF27" s="3">
        <f t="shared" si="2"/>
        <v>1808.0644250736575</v>
      </c>
      <c r="BG27" s="3">
        <f t="shared" si="3"/>
        <v>3661.9728878933524</v>
      </c>
      <c r="BH27" s="3">
        <f t="shared" si="4"/>
        <v>4051.7685123906172</v>
      </c>
      <c r="BI27" s="3">
        <f t="shared" si="5"/>
        <v>3725.2686561237711</v>
      </c>
      <c r="BJ27" s="3">
        <f t="shared" si="6"/>
        <v>3673.2575384023658</v>
      </c>
      <c r="BK27" s="3">
        <f t="shared" si="7"/>
        <v>9288.5827125573906</v>
      </c>
      <c r="BL27" s="3">
        <f t="shared" si="8"/>
        <v>3721.6066560454392</v>
      </c>
      <c r="BM27" s="3">
        <f t="shared" si="9"/>
        <v>1405.7830399807206</v>
      </c>
      <c r="BN27" s="3">
        <f t="shared" si="10"/>
        <v>2121.927689693483</v>
      </c>
      <c r="BO27" s="3">
        <f t="shared" si="11"/>
        <v>17335.532129072824</v>
      </c>
      <c r="BP27" s="3">
        <f t="shared" si="12"/>
        <v>3554.3686133603278</v>
      </c>
      <c r="BQ27" s="3">
        <f t="shared" si="13"/>
        <v>581.30444717947069</v>
      </c>
      <c r="BR27" s="3">
        <f t="shared" si="14"/>
        <v>821.64004924269852</v>
      </c>
      <c r="BS27" s="3">
        <f t="shared" si="15"/>
        <v>9590.3235592496058</v>
      </c>
      <c r="BT27" s="3">
        <f t="shared" si="16"/>
        <v>3263.2045572408756</v>
      </c>
      <c r="BU27" s="3">
        <f t="shared" si="17"/>
        <v>4216.5683231338198</v>
      </c>
      <c r="BV27" s="3">
        <f t="shared" si="18"/>
        <v>1372.0463189497939</v>
      </c>
      <c r="BW27" s="3">
        <f t="shared" si="19"/>
        <v>8079.9642251357727</v>
      </c>
      <c r="BX27" s="3">
        <f t="shared" si="20"/>
        <v>6292.0522518014332</v>
      </c>
      <c r="BY27" s="3">
        <f t="shared" si="21"/>
        <v>4884.5735941161311</v>
      </c>
      <c r="BZ27" s="3">
        <f t="shared" si="22"/>
        <v>2106.2450164738448</v>
      </c>
      <c r="CA27" s="15">
        <f t="shared" si="23"/>
        <v>4.5041016540401673</v>
      </c>
      <c r="CB27" s="15">
        <f t="shared" si="24"/>
        <v>3.907334246887225</v>
      </c>
      <c r="CC27" s="15">
        <f t="shared" si="25"/>
        <v>2.0308159854527337</v>
      </c>
      <c r="CD27">
        <f t="shared" si="27"/>
        <v>-0.95815843986871407</v>
      </c>
    </row>
    <row r="28" spans="1:82" x14ac:dyDescent="0.25">
      <c r="A28">
        <v>19272</v>
      </c>
      <c r="B28" t="s">
        <v>198</v>
      </c>
      <c r="C28">
        <v>127.4931661</v>
      </c>
      <c r="D28">
        <v>-0.83051536500000001</v>
      </c>
      <c r="E28">
        <v>0.45079236</v>
      </c>
      <c r="F28">
        <v>21.992367689999998</v>
      </c>
      <c r="G28" s="7">
        <v>6.5500000000000006E-5</v>
      </c>
      <c r="H28">
        <v>7.94241E-4</v>
      </c>
      <c r="I28" s="5" t="s">
        <v>199</v>
      </c>
      <c r="J28" t="s">
        <v>200</v>
      </c>
      <c r="K28">
        <v>1950</v>
      </c>
      <c r="L28">
        <v>18938</v>
      </c>
      <c r="M28">
        <v>36.822000000000003</v>
      </c>
      <c r="N28">
        <v>11351</v>
      </c>
      <c r="O28">
        <v>0.90100000000000002</v>
      </c>
      <c r="P28" t="s">
        <v>36</v>
      </c>
      <c r="Q28" t="s">
        <v>201</v>
      </c>
      <c r="R28">
        <v>4887</v>
      </c>
      <c r="S28">
        <v>8.5999999999999993E-2</v>
      </c>
      <c r="T28">
        <v>24</v>
      </c>
      <c r="U28" t="s">
        <v>49</v>
      </c>
      <c r="V28">
        <v>-1</v>
      </c>
      <c r="W28">
        <v>124</v>
      </c>
      <c r="X28">
        <v>598</v>
      </c>
      <c r="Y28">
        <v>414</v>
      </c>
      <c r="Z28">
        <v>1447</v>
      </c>
      <c r="AA28">
        <v>6152</v>
      </c>
      <c r="AB28">
        <v>1197</v>
      </c>
      <c r="AC28">
        <v>9006</v>
      </c>
      <c r="AD28">
        <v>18938</v>
      </c>
      <c r="AE28">
        <v>233</v>
      </c>
      <c r="AF28">
        <v>207</v>
      </c>
      <c r="AG28">
        <v>227</v>
      </c>
      <c r="AH28">
        <v>74</v>
      </c>
      <c r="AI28">
        <v>61</v>
      </c>
      <c r="AJ28">
        <v>213</v>
      </c>
      <c r="AK28">
        <v>198</v>
      </c>
      <c r="AL28">
        <v>111</v>
      </c>
      <c r="AM28">
        <v>485</v>
      </c>
      <c r="AN28">
        <v>75</v>
      </c>
      <c r="AO28">
        <v>108</v>
      </c>
      <c r="AP28">
        <v>134</v>
      </c>
      <c r="AQ28">
        <v>102</v>
      </c>
      <c r="AR28">
        <v>365</v>
      </c>
      <c r="AS28">
        <v>31</v>
      </c>
      <c r="AT28">
        <v>32</v>
      </c>
      <c r="AU28">
        <v>90</v>
      </c>
      <c r="AV28">
        <v>100</v>
      </c>
      <c r="AW28">
        <v>24</v>
      </c>
      <c r="AX28">
        <v>103</v>
      </c>
      <c r="AY28">
        <v>179</v>
      </c>
      <c r="AZ28">
        <v>272</v>
      </c>
      <c r="BA28">
        <v>45</v>
      </c>
      <c r="BB28">
        <v>7</v>
      </c>
      <c r="BC28" s="3">
        <f t="shared" si="26"/>
        <v>2625.5488439415462</v>
      </c>
      <c r="BD28" s="3">
        <f t="shared" si="0"/>
        <v>595.56845282536813</v>
      </c>
      <c r="BE28" s="3">
        <f t="shared" si="1"/>
        <v>719.48716729661419</v>
      </c>
      <c r="BF28" s="3">
        <f t="shared" si="2"/>
        <v>564.54332259683827</v>
      </c>
      <c r="BG28" s="3">
        <f t="shared" si="3"/>
        <v>915.49322197333811</v>
      </c>
      <c r="BH28" s="3">
        <f t="shared" si="4"/>
        <v>1566.2916390911096</v>
      </c>
      <c r="BI28" s="3">
        <f t="shared" si="5"/>
        <v>714.73177704700265</v>
      </c>
      <c r="BJ28" s="3">
        <f t="shared" si="6"/>
        <v>417.33018092391262</v>
      </c>
      <c r="BK28" s="3">
        <f t="shared" si="7"/>
        <v>1883.3455750795713</v>
      </c>
      <c r="BL28" s="3">
        <f t="shared" si="8"/>
        <v>257.49123542749811</v>
      </c>
      <c r="BM28" s="3">
        <f t="shared" si="9"/>
        <v>387.30757223958631</v>
      </c>
      <c r="BN28" s="3">
        <f t="shared" si="10"/>
        <v>412.68259857609104</v>
      </c>
      <c r="BO28" s="3">
        <f t="shared" si="11"/>
        <v>497.95107777117101</v>
      </c>
      <c r="BP28" s="3">
        <f t="shared" si="12"/>
        <v>679.94997058517788</v>
      </c>
      <c r="BQ28" s="3">
        <f t="shared" si="13"/>
        <v>155.34860226347925</v>
      </c>
      <c r="BR28" s="3">
        <f t="shared" si="14"/>
        <v>148.54509364839748</v>
      </c>
      <c r="BS28" s="3">
        <f t="shared" si="15"/>
        <v>533.78424262984822</v>
      </c>
      <c r="BT28" s="3">
        <f t="shared" si="16"/>
        <v>502.03147034475001</v>
      </c>
      <c r="BU28" s="3">
        <f t="shared" si="17"/>
        <v>124.01671538628882</v>
      </c>
      <c r="BV28" s="3">
        <f t="shared" si="18"/>
        <v>245.34856050664717</v>
      </c>
      <c r="BW28" s="3">
        <f t="shared" si="19"/>
        <v>818.05067663987745</v>
      </c>
      <c r="BX28" s="3">
        <f t="shared" si="20"/>
        <v>803.49211853990118</v>
      </c>
      <c r="BY28" s="3">
        <f t="shared" si="21"/>
        <v>340.25667451273353</v>
      </c>
      <c r="BZ28" s="3">
        <f t="shared" si="22"/>
        <v>210.62450164738448</v>
      </c>
      <c r="CA28" s="15">
        <f t="shared" si="23"/>
        <v>3.6387711008191492</v>
      </c>
      <c r="CB28" s="15">
        <f t="shared" si="24"/>
        <v>2.2034323484524383</v>
      </c>
      <c r="CC28" s="15">
        <f t="shared" si="25"/>
        <v>1.2211394844886796</v>
      </c>
      <c r="CD28">
        <f t="shared" si="27"/>
        <v>-0.99419822979137251</v>
      </c>
    </row>
    <row r="29" spans="1:82" x14ac:dyDescent="0.25">
      <c r="A29">
        <v>1835</v>
      </c>
      <c r="B29" t="s">
        <v>118</v>
      </c>
      <c r="C29">
        <v>30.476830669999998</v>
      </c>
      <c r="D29">
        <v>2.5714251190000001</v>
      </c>
      <c r="E29">
        <v>0.69364214199999996</v>
      </c>
      <c r="F29">
        <v>21.908031739999998</v>
      </c>
      <c r="G29" s="7">
        <v>6.8200000000000004E-5</v>
      </c>
      <c r="H29">
        <v>8.1965499999999997E-4</v>
      </c>
      <c r="I29" s="5" t="s">
        <v>500</v>
      </c>
      <c r="J29" t="s">
        <v>119</v>
      </c>
      <c r="K29">
        <v>146</v>
      </c>
      <c r="L29">
        <v>4348</v>
      </c>
      <c r="M29">
        <v>8.4540000000000006</v>
      </c>
      <c r="N29">
        <v>313</v>
      </c>
      <c r="O29">
        <v>1</v>
      </c>
      <c r="P29" t="s">
        <v>36</v>
      </c>
      <c r="Q29" t="s">
        <v>120</v>
      </c>
      <c r="R29">
        <v>3627</v>
      </c>
      <c r="S29">
        <v>1.7000000000000001E-2</v>
      </c>
      <c r="T29">
        <v>21</v>
      </c>
      <c r="U29" t="s">
        <v>90</v>
      </c>
      <c r="V29">
        <v>-1</v>
      </c>
      <c r="W29">
        <v>10</v>
      </c>
      <c r="X29">
        <v>31</v>
      </c>
      <c r="Y29">
        <v>125</v>
      </c>
      <c r="Z29">
        <v>4031</v>
      </c>
      <c r="AA29">
        <v>109</v>
      </c>
      <c r="AB29">
        <v>42</v>
      </c>
      <c r="AC29">
        <v>0</v>
      </c>
      <c r="AD29">
        <v>4348</v>
      </c>
      <c r="AE29">
        <v>1</v>
      </c>
      <c r="AF29">
        <v>81</v>
      </c>
      <c r="AG29">
        <v>196</v>
      </c>
      <c r="AH29">
        <v>56</v>
      </c>
      <c r="AI29">
        <v>0</v>
      </c>
      <c r="AJ29">
        <v>26</v>
      </c>
      <c r="AK29">
        <v>88</v>
      </c>
      <c r="AL29">
        <v>92</v>
      </c>
      <c r="AM29">
        <v>17</v>
      </c>
      <c r="AN29">
        <v>49</v>
      </c>
      <c r="AO29">
        <v>62</v>
      </c>
      <c r="AP29">
        <v>69</v>
      </c>
      <c r="AQ29">
        <v>0</v>
      </c>
      <c r="AR29">
        <v>109</v>
      </c>
      <c r="AS29">
        <v>10</v>
      </c>
      <c r="AT29">
        <v>1</v>
      </c>
      <c r="AU29">
        <v>9</v>
      </c>
      <c r="AV29">
        <v>15</v>
      </c>
      <c r="AW29">
        <v>57</v>
      </c>
      <c r="AX29">
        <v>34</v>
      </c>
      <c r="AY29">
        <v>2</v>
      </c>
      <c r="AZ29">
        <v>32</v>
      </c>
      <c r="BA29">
        <v>27</v>
      </c>
      <c r="BB29">
        <v>4</v>
      </c>
      <c r="BC29" s="3">
        <f t="shared" si="26"/>
        <v>11.268449973998051</v>
      </c>
      <c r="BD29" s="3">
        <f t="shared" si="0"/>
        <v>233.04852501862231</v>
      </c>
      <c r="BE29" s="3">
        <f t="shared" si="1"/>
        <v>621.231210529235</v>
      </c>
      <c r="BF29" s="3">
        <f t="shared" si="2"/>
        <v>427.22197385706681</v>
      </c>
      <c r="BG29" s="3">
        <f t="shared" si="3"/>
        <v>0</v>
      </c>
      <c r="BH29" s="3">
        <f t="shared" si="4"/>
        <v>191.19052871534672</v>
      </c>
      <c r="BI29" s="3">
        <f t="shared" si="5"/>
        <v>317.65856757644565</v>
      </c>
      <c r="BJ29" s="3">
        <f t="shared" si="6"/>
        <v>345.89528509008971</v>
      </c>
      <c r="BK29" s="3">
        <f t="shared" si="7"/>
        <v>66.014174796603527</v>
      </c>
      <c r="BL29" s="3">
        <f t="shared" si="8"/>
        <v>168.22760714596541</v>
      </c>
      <c r="BM29" s="3">
        <f t="shared" si="9"/>
        <v>222.34323591531805</v>
      </c>
      <c r="BN29" s="3">
        <f t="shared" si="10"/>
        <v>212.50074105783793</v>
      </c>
      <c r="BO29" s="3">
        <f t="shared" si="11"/>
        <v>0</v>
      </c>
      <c r="BP29" s="3">
        <f t="shared" si="12"/>
        <v>203.05355285968329</v>
      </c>
      <c r="BQ29" s="3">
        <f t="shared" si="13"/>
        <v>50.112452343057825</v>
      </c>
      <c r="BR29" s="3">
        <f t="shared" si="14"/>
        <v>4.6420341765124213</v>
      </c>
      <c r="BS29" s="3">
        <f t="shared" si="15"/>
        <v>53.378424262984822</v>
      </c>
      <c r="BT29" s="3">
        <f t="shared" si="16"/>
        <v>75.304720551712506</v>
      </c>
      <c r="BU29" s="3">
        <f t="shared" si="17"/>
        <v>294.53969904243593</v>
      </c>
      <c r="BV29" s="3">
        <f t="shared" si="18"/>
        <v>80.988845215786441</v>
      </c>
      <c r="BW29" s="3">
        <f t="shared" si="19"/>
        <v>9.1402310239092444</v>
      </c>
      <c r="BX29" s="3">
        <f t="shared" si="20"/>
        <v>94.528484534106028</v>
      </c>
      <c r="BY29" s="3">
        <f t="shared" si="21"/>
        <v>204.15400470764013</v>
      </c>
      <c r="BZ29" s="3">
        <f t="shared" si="22"/>
        <v>120.35685808421971</v>
      </c>
      <c r="CA29" s="15">
        <f t="shared" si="23"/>
        <v>0.11732175807827928</v>
      </c>
      <c r="CB29" s="15">
        <f t="shared" si="24"/>
        <v>0.81012820638622784</v>
      </c>
      <c r="CC29" s="15">
        <f t="shared" si="25"/>
        <v>1.4350712793044627</v>
      </c>
      <c r="CD29" s="11">
        <f t="shared" si="27"/>
        <v>0.99955826065041165</v>
      </c>
    </row>
    <row r="30" spans="1:82" x14ac:dyDescent="0.25">
      <c r="A30">
        <v>24484</v>
      </c>
      <c r="B30" t="s">
        <v>337</v>
      </c>
      <c r="C30">
        <v>1268.5394920000001</v>
      </c>
      <c r="D30">
        <v>-0.125994044</v>
      </c>
      <c r="E30">
        <v>0.43536280500000002</v>
      </c>
      <c r="F30">
        <v>21.3177746</v>
      </c>
      <c r="G30" s="7">
        <v>9.0400000000000002E-5</v>
      </c>
      <c r="H30">
        <v>1.0187130000000001E-3</v>
      </c>
      <c r="I30" s="5" t="s">
        <v>338</v>
      </c>
      <c r="J30" t="s">
        <v>401</v>
      </c>
      <c r="K30">
        <v>812</v>
      </c>
      <c r="L30">
        <v>211855</v>
      </c>
      <c r="M30">
        <v>411.92099999999999</v>
      </c>
      <c r="N30">
        <v>211412</v>
      </c>
      <c r="O30">
        <v>0.69</v>
      </c>
      <c r="P30" t="s">
        <v>47</v>
      </c>
      <c r="Q30" t="s">
        <v>402</v>
      </c>
      <c r="R30">
        <v>130678</v>
      </c>
      <c r="S30">
        <v>2E-3</v>
      </c>
      <c r="T30">
        <v>21</v>
      </c>
      <c r="U30" t="s">
        <v>49</v>
      </c>
      <c r="V30">
        <v>649.9</v>
      </c>
      <c r="W30">
        <v>3461</v>
      </c>
      <c r="X30">
        <v>107</v>
      </c>
      <c r="Y30">
        <v>5654</v>
      </c>
      <c r="Z30">
        <v>200462</v>
      </c>
      <c r="AA30">
        <v>1703</v>
      </c>
      <c r="AB30">
        <v>75</v>
      </c>
      <c r="AC30">
        <v>393</v>
      </c>
      <c r="AD30">
        <v>211855</v>
      </c>
      <c r="AE30">
        <v>1148</v>
      </c>
      <c r="AF30">
        <v>4870</v>
      </c>
      <c r="AG30">
        <v>5575</v>
      </c>
      <c r="AH30">
        <v>299</v>
      </c>
      <c r="AI30">
        <v>200</v>
      </c>
      <c r="AJ30">
        <v>1011</v>
      </c>
      <c r="AK30">
        <v>1377</v>
      </c>
      <c r="AL30">
        <v>1345</v>
      </c>
      <c r="AM30">
        <v>5072</v>
      </c>
      <c r="AN30">
        <v>2878</v>
      </c>
      <c r="AO30">
        <v>1091</v>
      </c>
      <c r="AP30">
        <v>1022</v>
      </c>
      <c r="AQ30">
        <v>3135</v>
      </c>
      <c r="AR30">
        <v>7365</v>
      </c>
      <c r="AS30">
        <v>429</v>
      </c>
      <c r="AT30">
        <v>361</v>
      </c>
      <c r="AU30">
        <v>641</v>
      </c>
      <c r="AV30">
        <v>823</v>
      </c>
      <c r="AW30">
        <v>841</v>
      </c>
      <c r="AX30">
        <v>372</v>
      </c>
      <c r="AY30">
        <v>934</v>
      </c>
      <c r="AZ30">
        <v>1673</v>
      </c>
      <c r="BA30">
        <v>679</v>
      </c>
      <c r="BB30">
        <v>75</v>
      </c>
      <c r="BC30" s="3">
        <f t="shared" si="26"/>
        <v>12936.180570149763</v>
      </c>
      <c r="BD30" s="3">
        <f t="shared" si="0"/>
        <v>14011.682923959142</v>
      </c>
      <c r="BE30" s="3">
        <f t="shared" si="1"/>
        <v>17670.224483165744</v>
      </c>
      <c r="BF30" s="3">
        <f t="shared" si="2"/>
        <v>2281.0601818439818</v>
      </c>
      <c r="BG30" s="3">
        <f t="shared" si="3"/>
        <v>3001.6171212240592</v>
      </c>
      <c r="BH30" s="3">
        <f t="shared" si="4"/>
        <v>7434.3701742775211</v>
      </c>
      <c r="BI30" s="3">
        <f t="shared" si="5"/>
        <v>4970.6346312814276</v>
      </c>
      <c r="BJ30" s="3">
        <f t="shared" si="6"/>
        <v>5056.8386787627251</v>
      </c>
      <c r="BK30" s="3">
        <f t="shared" si="7"/>
        <v>19695.523209904302</v>
      </c>
      <c r="BL30" s="3">
        <f t="shared" si="8"/>
        <v>9880.7970074711939</v>
      </c>
      <c r="BM30" s="3">
        <f t="shared" si="9"/>
        <v>3912.5237158647096</v>
      </c>
      <c r="BN30" s="3">
        <f t="shared" si="10"/>
        <v>3147.4747443639185</v>
      </c>
      <c r="BO30" s="3">
        <f t="shared" si="11"/>
        <v>15304.672831496286</v>
      </c>
      <c r="BP30" s="3">
        <f t="shared" si="12"/>
        <v>13720.086392766672</v>
      </c>
      <c r="BQ30" s="3">
        <f t="shared" si="13"/>
        <v>2149.8242055171804</v>
      </c>
      <c r="BR30" s="3">
        <f t="shared" si="14"/>
        <v>1675.774337720984</v>
      </c>
      <c r="BS30" s="3">
        <f t="shared" si="15"/>
        <v>3801.7299947303632</v>
      </c>
      <c r="BT30" s="3">
        <f t="shared" si="16"/>
        <v>4131.7190009372925</v>
      </c>
      <c r="BU30" s="3">
        <f t="shared" si="17"/>
        <v>4345.7524016612033</v>
      </c>
      <c r="BV30" s="3">
        <f t="shared" si="18"/>
        <v>886.11324765507516</v>
      </c>
      <c r="BW30" s="3">
        <f t="shared" si="19"/>
        <v>4268.4878881656177</v>
      </c>
      <c r="BX30" s="3">
        <f t="shared" si="20"/>
        <v>4942.0673320487313</v>
      </c>
      <c r="BY30" s="3">
        <f t="shared" si="21"/>
        <v>5134.0951554254689</v>
      </c>
      <c r="BZ30" s="3">
        <f t="shared" si="22"/>
        <v>2256.6910890791196</v>
      </c>
      <c r="CA30" s="15">
        <f t="shared" si="23"/>
        <v>3.8557498441104885</v>
      </c>
      <c r="CB30" s="15">
        <f t="shared" si="24"/>
        <v>3.5363886297671554</v>
      </c>
      <c r="CC30" s="15">
        <f t="shared" si="25"/>
        <v>2.4949799826707473</v>
      </c>
      <c r="CD30">
        <f t="shared" si="27"/>
        <v>-0.9561385595894919</v>
      </c>
    </row>
    <row r="31" spans="1:82" x14ac:dyDescent="0.25">
      <c r="A31">
        <v>13874</v>
      </c>
      <c r="B31" t="s">
        <v>339</v>
      </c>
      <c r="C31">
        <v>11120.17247</v>
      </c>
      <c r="D31">
        <v>-0.46539713900000002</v>
      </c>
      <c r="E31">
        <v>0.38419422600000003</v>
      </c>
      <c r="F31">
        <v>17.63999321</v>
      </c>
      <c r="G31">
        <v>5.2181500000000002E-4</v>
      </c>
      <c r="H31">
        <v>3.9193049999999997E-3</v>
      </c>
      <c r="I31" s="5" t="s">
        <v>340</v>
      </c>
      <c r="J31" t="s">
        <v>403</v>
      </c>
      <c r="K31">
        <v>502</v>
      </c>
      <c r="L31">
        <v>2489005</v>
      </c>
      <c r="M31">
        <v>4839.509</v>
      </c>
      <c r="N31">
        <v>2259140</v>
      </c>
      <c r="O31">
        <v>0.98499999999999999</v>
      </c>
      <c r="P31" t="s">
        <v>36</v>
      </c>
      <c r="Q31" t="s">
        <v>404</v>
      </c>
      <c r="R31">
        <v>2063551</v>
      </c>
      <c r="S31">
        <v>0</v>
      </c>
      <c r="T31">
        <v>21</v>
      </c>
      <c r="U31" t="s">
        <v>43</v>
      </c>
      <c r="V31">
        <v>-1</v>
      </c>
      <c r="W31">
        <v>129016</v>
      </c>
      <c r="X31">
        <v>116</v>
      </c>
      <c r="Y31">
        <v>17636</v>
      </c>
      <c r="Z31">
        <v>2329152</v>
      </c>
      <c r="AA31">
        <v>11835</v>
      </c>
      <c r="AB31">
        <v>820</v>
      </c>
      <c r="AC31">
        <v>430</v>
      </c>
      <c r="AD31">
        <v>2489005</v>
      </c>
      <c r="AE31">
        <v>4488</v>
      </c>
      <c r="AF31">
        <v>35978</v>
      </c>
      <c r="AG31">
        <v>13032</v>
      </c>
      <c r="AH31">
        <v>1702</v>
      </c>
      <c r="AI31">
        <v>1941</v>
      </c>
      <c r="AJ31">
        <v>9671</v>
      </c>
      <c r="AK31">
        <v>12936</v>
      </c>
      <c r="AL31">
        <v>18263</v>
      </c>
      <c r="AM31">
        <v>41432</v>
      </c>
      <c r="AN31">
        <v>6877</v>
      </c>
      <c r="AO31">
        <v>5617</v>
      </c>
      <c r="AP31">
        <v>13777</v>
      </c>
      <c r="AQ31">
        <v>20668</v>
      </c>
      <c r="AR31">
        <v>46294</v>
      </c>
      <c r="AS31">
        <v>9681</v>
      </c>
      <c r="AT31">
        <v>9247</v>
      </c>
      <c r="AU31">
        <v>14413</v>
      </c>
      <c r="AV31">
        <v>10331</v>
      </c>
      <c r="AW31">
        <v>4879</v>
      </c>
      <c r="AX31">
        <v>8815</v>
      </c>
      <c r="AY31">
        <v>24304</v>
      </c>
      <c r="AZ31">
        <v>26805</v>
      </c>
      <c r="BA31">
        <v>5881</v>
      </c>
      <c r="BB31">
        <v>975</v>
      </c>
      <c r="BC31" s="3">
        <f t="shared" si="26"/>
        <v>50572.803483303258</v>
      </c>
      <c r="BD31" s="3">
        <f t="shared" si="0"/>
        <v>103513.82510024683</v>
      </c>
      <c r="BE31" s="3">
        <f t="shared" si="1"/>
        <v>41305.536406209147</v>
      </c>
      <c r="BF31" s="3">
        <f t="shared" si="2"/>
        <v>12984.496419727278</v>
      </c>
      <c r="BG31" s="3">
        <f t="shared" si="3"/>
        <v>29130.694161479496</v>
      </c>
      <c r="BH31" s="3">
        <f t="shared" si="4"/>
        <v>71115.523200235315</v>
      </c>
      <c r="BI31" s="3">
        <f t="shared" si="5"/>
        <v>46695.809433737501</v>
      </c>
      <c r="BJ31" s="3">
        <f t="shared" si="6"/>
        <v>68663.973821742489</v>
      </c>
      <c r="BK31" s="3">
        <f t="shared" si="7"/>
        <v>160888.19353958103</v>
      </c>
      <c r="BL31" s="3">
        <f t="shared" si="8"/>
        <v>23610.229680465392</v>
      </c>
      <c r="BM31" s="3">
        <f t="shared" si="9"/>
        <v>20143.579937682931</v>
      </c>
      <c r="BN31" s="3">
        <f t="shared" si="10"/>
        <v>42429.314631214969</v>
      </c>
      <c r="BO31" s="3">
        <f t="shared" si="11"/>
        <v>100898.55760171139</v>
      </c>
      <c r="BP31" s="3">
        <f t="shared" si="12"/>
        <v>86240.010789781445</v>
      </c>
      <c r="BQ31" s="3">
        <f t="shared" si="13"/>
        <v>48513.865113314278</v>
      </c>
      <c r="BR31" s="3">
        <f t="shared" si="14"/>
        <v>42924.890030210358</v>
      </c>
      <c r="BS31" s="3">
        <f t="shared" si="15"/>
        <v>85482.580989155569</v>
      </c>
      <c r="BT31" s="3">
        <f t="shared" si="16"/>
        <v>51864.87120131612</v>
      </c>
      <c r="BU31" s="3">
        <f t="shared" si="17"/>
        <v>25211.564765404295</v>
      </c>
      <c r="BV31" s="3">
        <f t="shared" si="18"/>
        <v>20997.549134622277</v>
      </c>
      <c r="BW31" s="3">
        <f t="shared" si="19"/>
        <v>111072.08740254515</v>
      </c>
      <c r="BX31" s="3">
        <f t="shared" si="20"/>
        <v>79182.375873022262</v>
      </c>
      <c r="BY31" s="3">
        <f t="shared" si="21"/>
        <v>44467.766729097464</v>
      </c>
      <c r="BZ31" s="3">
        <f t="shared" si="22"/>
        <v>29336.984158028554</v>
      </c>
      <c r="CA31" s="15">
        <f t="shared" si="23"/>
        <v>2.4756226586552907</v>
      </c>
      <c r="CB31" s="15">
        <f t="shared" si="24"/>
        <v>1.911899206284104</v>
      </c>
      <c r="CC31" s="15">
        <f t="shared" si="25"/>
        <v>1.0414145109557185</v>
      </c>
      <c r="CD31">
        <f t="shared" si="27"/>
        <v>-0.99246136593692624</v>
      </c>
    </row>
    <row r="32" spans="1:82" x14ac:dyDescent="0.25">
      <c r="A32">
        <v>38343</v>
      </c>
      <c r="B32" t="s">
        <v>195</v>
      </c>
      <c r="C32">
        <v>594.94491370000003</v>
      </c>
      <c r="D32">
        <v>0.71768433600000003</v>
      </c>
      <c r="E32">
        <v>0.41367571199999997</v>
      </c>
      <c r="F32">
        <v>17.442555989999999</v>
      </c>
      <c r="G32">
        <v>5.7304000000000003E-4</v>
      </c>
      <c r="H32">
        <v>4.2166909999999998E-3</v>
      </c>
      <c r="I32" s="5" t="s">
        <v>196</v>
      </c>
      <c r="J32" t="s">
        <v>197</v>
      </c>
      <c r="K32">
        <v>257</v>
      </c>
      <c r="L32">
        <v>38401</v>
      </c>
      <c r="M32">
        <v>74.665000000000006</v>
      </c>
      <c r="N32">
        <v>470</v>
      </c>
      <c r="O32">
        <v>0.83699999999999997</v>
      </c>
      <c r="P32" t="s">
        <v>36</v>
      </c>
      <c r="Q32" t="s">
        <v>192</v>
      </c>
      <c r="R32">
        <v>22479</v>
      </c>
      <c r="S32">
        <v>8.0000000000000002E-3</v>
      </c>
      <c r="T32">
        <v>21</v>
      </c>
      <c r="U32" t="s">
        <v>43</v>
      </c>
      <c r="V32">
        <v>-1</v>
      </c>
      <c r="W32">
        <v>583</v>
      </c>
      <c r="X32">
        <v>32</v>
      </c>
      <c r="Y32">
        <v>1698</v>
      </c>
      <c r="Z32">
        <v>30286</v>
      </c>
      <c r="AA32">
        <v>5660</v>
      </c>
      <c r="AB32">
        <v>93</v>
      </c>
      <c r="AC32">
        <v>49</v>
      </c>
      <c r="AD32">
        <v>38401</v>
      </c>
      <c r="AE32">
        <v>169</v>
      </c>
      <c r="AF32">
        <v>516</v>
      </c>
      <c r="AG32">
        <v>3550</v>
      </c>
      <c r="AH32">
        <v>293</v>
      </c>
      <c r="AI32">
        <v>45</v>
      </c>
      <c r="AJ32">
        <v>209</v>
      </c>
      <c r="AK32">
        <v>654</v>
      </c>
      <c r="AL32">
        <v>806</v>
      </c>
      <c r="AM32">
        <v>407</v>
      </c>
      <c r="AN32">
        <v>773</v>
      </c>
      <c r="AO32">
        <v>1739</v>
      </c>
      <c r="AP32">
        <v>1762</v>
      </c>
      <c r="AQ32">
        <v>735</v>
      </c>
      <c r="AR32">
        <v>3254</v>
      </c>
      <c r="AS32">
        <v>496</v>
      </c>
      <c r="AT32">
        <v>443</v>
      </c>
      <c r="AU32">
        <v>130</v>
      </c>
      <c r="AV32">
        <v>407</v>
      </c>
      <c r="AW32">
        <v>1286</v>
      </c>
      <c r="AX32">
        <v>603</v>
      </c>
      <c r="AY32">
        <v>240</v>
      </c>
      <c r="AZ32">
        <v>718</v>
      </c>
      <c r="BA32">
        <v>653</v>
      </c>
      <c r="BB32">
        <v>105</v>
      </c>
      <c r="BC32" s="3">
        <f t="shared" si="26"/>
        <v>1904.3680456056709</v>
      </c>
      <c r="BD32" s="3">
        <f t="shared" si="0"/>
        <v>1484.6054186371496</v>
      </c>
      <c r="BE32" s="3">
        <f t="shared" si="1"/>
        <v>11251.891823361148</v>
      </c>
      <c r="BF32" s="3">
        <f t="shared" si="2"/>
        <v>2235.2863989307243</v>
      </c>
      <c r="BG32" s="3">
        <f t="shared" si="3"/>
        <v>675.36385227541336</v>
      </c>
      <c r="BH32" s="3">
        <f t="shared" si="4"/>
        <v>1536.877711596441</v>
      </c>
      <c r="BI32" s="3">
        <f t="shared" si="5"/>
        <v>2360.7807181249482</v>
      </c>
      <c r="BJ32" s="3">
        <f t="shared" si="6"/>
        <v>3030.3434758979602</v>
      </c>
      <c r="BK32" s="3">
        <f t="shared" si="7"/>
        <v>1580.4570083657434</v>
      </c>
      <c r="BL32" s="3">
        <f t="shared" si="8"/>
        <v>2653.8763331394139</v>
      </c>
      <c r="BM32" s="3">
        <f t="shared" si="9"/>
        <v>6236.369149302227</v>
      </c>
      <c r="BN32" s="3">
        <f t="shared" si="10"/>
        <v>5426.4681991871075</v>
      </c>
      <c r="BO32" s="3">
        <f t="shared" si="11"/>
        <v>3588.1768839393203</v>
      </c>
      <c r="BP32" s="3">
        <f t="shared" si="12"/>
        <v>6061.8005596826551</v>
      </c>
      <c r="BQ32" s="3">
        <f t="shared" si="13"/>
        <v>2485.577636215668</v>
      </c>
      <c r="BR32" s="3">
        <f t="shared" si="14"/>
        <v>2056.4211401950029</v>
      </c>
      <c r="BS32" s="3">
        <f t="shared" si="15"/>
        <v>771.02168379866964</v>
      </c>
      <c r="BT32" s="3">
        <f t="shared" si="16"/>
        <v>2043.2680843031326</v>
      </c>
      <c r="BU32" s="3">
        <f t="shared" si="17"/>
        <v>6645.2289994486428</v>
      </c>
      <c r="BV32" s="3">
        <f t="shared" si="18"/>
        <v>1436.3609901505654</v>
      </c>
      <c r="BW32" s="3">
        <f t="shared" si="19"/>
        <v>1096.8277228691093</v>
      </c>
      <c r="BX32" s="3">
        <f t="shared" si="20"/>
        <v>2120.9828717340042</v>
      </c>
      <c r="BY32" s="3">
        <f t="shared" si="21"/>
        <v>4937.5024101514446</v>
      </c>
      <c r="BZ32" s="3">
        <f t="shared" si="22"/>
        <v>3159.3675247107672</v>
      </c>
      <c r="CA32" s="15">
        <f t="shared" si="23"/>
        <v>0.55443253273737514</v>
      </c>
      <c r="CB32" s="15">
        <f t="shared" si="24"/>
        <v>0.91681179993982231</v>
      </c>
      <c r="CC32" s="15">
        <f t="shared" si="25"/>
        <v>1.9555388775814357</v>
      </c>
      <c r="CD32" s="11">
        <f t="shared" si="27"/>
        <v>0.96328824250953282</v>
      </c>
    </row>
    <row r="33" spans="1:82" x14ac:dyDescent="0.25">
      <c r="A33">
        <v>11171</v>
      </c>
      <c r="B33" t="s">
        <v>341</v>
      </c>
      <c r="C33">
        <v>38.48653908</v>
      </c>
      <c r="D33">
        <v>-0.77177885700000004</v>
      </c>
      <c r="E33">
        <v>0.51399307999999999</v>
      </c>
      <c r="F33">
        <v>16.95417861</v>
      </c>
      <c r="G33">
        <v>7.2224400000000003E-4</v>
      </c>
      <c r="H33">
        <v>4.9993750000000003E-3</v>
      </c>
      <c r="I33" s="5" t="s">
        <v>342</v>
      </c>
      <c r="J33" t="s">
        <v>405</v>
      </c>
      <c r="K33">
        <v>605</v>
      </c>
      <c r="L33">
        <v>558190</v>
      </c>
      <c r="M33">
        <v>1085.319</v>
      </c>
      <c r="N33">
        <v>23553</v>
      </c>
      <c r="O33">
        <v>1.0999999999999999E-2</v>
      </c>
      <c r="P33" t="s">
        <v>88</v>
      </c>
      <c r="Q33" t="s">
        <v>406</v>
      </c>
      <c r="R33">
        <v>452464</v>
      </c>
      <c r="S33">
        <v>1E-3</v>
      </c>
      <c r="T33">
        <v>20</v>
      </c>
      <c r="U33" t="s">
        <v>49</v>
      </c>
      <c r="V33">
        <v>-1</v>
      </c>
      <c r="W33">
        <v>1005</v>
      </c>
      <c r="X33">
        <v>1233</v>
      </c>
      <c r="Y33">
        <v>464430</v>
      </c>
      <c r="Z33">
        <v>66598</v>
      </c>
      <c r="AA33">
        <v>4409</v>
      </c>
      <c r="AB33">
        <v>20153</v>
      </c>
      <c r="AC33">
        <v>362</v>
      </c>
      <c r="AD33">
        <v>558190</v>
      </c>
      <c r="AE33">
        <v>36</v>
      </c>
      <c r="AF33">
        <v>48</v>
      </c>
      <c r="AG33">
        <v>20</v>
      </c>
      <c r="AH33">
        <v>1</v>
      </c>
      <c r="AI33">
        <v>19</v>
      </c>
      <c r="AJ33">
        <v>62</v>
      </c>
      <c r="AK33">
        <v>57</v>
      </c>
      <c r="AL33">
        <v>52</v>
      </c>
      <c r="AM33">
        <v>164</v>
      </c>
      <c r="AN33">
        <v>18</v>
      </c>
      <c r="AO33">
        <v>5</v>
      </c>
      <c r="AP33">
        <v>40</v>
      </c>
      <c r="AQ33">
        <v>56</v>
      </c>
      <c r="AR33">
        <v>177</v>
      </c>
      <c r="AS33">
        <v>15</v>
      </c>
      <c r="AT33">
        <v>16</v>
      </c>
      <c r="AU33">
        <v>43</v>
      </c>
      <c r="AV33">
        <v>22</v>
      </c>
      <c r="AW33">
        <v>34</v>
      </c>
      <c r="AX33">
        <v>28</v>
      </c>
      <c r="AY33">
        <v>62</v>
      </c>
      <c r="AZ33">
        <v>97</v>
      </c>
      <c r="BA33">
        <v>14</v>
      </c>
      <c r="BB33">
        <v>6</v>
      </c>
      <c r="BC33" s="3">
        <f t="shared" si="26"/>
        <v>405.66419906392986</v>
      </c>
      <c r="BD33" s="3">
        <f t="shared" si="0"/>
        <v>138.10282964066508</v>
      </c>
      <c r="BE33" s="3">
        <f t="shared" si="1"/>
        <v>63.390939849921949</v>
      </c>
      <c r="BF33" s="3">
        <f t="shared" si="2"/>
        <v>7.6289638188761932</v>
      </c>
      <c r="BG33" s="3">
        <f t="shared" si="3"/>
        <v>285.15362651628567</v>
      </c>
      <c r="BH33" s="3">
        <f t="shared" si="4"/>
        <v>455.91587616736524</v>
      </c>
      <c r="BI33" s="3">
        <f t="shared" si="5"/>
        <v>205.75611763474319</v>
      </c>
      <c r="BJ33" s="3">
        <f t="shared" si="6"/>
        <v>195.50603070309421</v>
      </c>
      <c r="BK33" s="3">
        <f t="shared" si="7"/>
        <v>636.8426274495871</v>
      </c>
      <c r="BL33" s="3">
        <f t="shared" si="8"/>
        <v>61.797896502599542</v>
      </c>
      <c r="BM33" s="3">
        <f t="shared" si="9"/>
        <v>17.930906122203069</v>
      </c>
      <c r="BN33" s="3">
        <f t="shared" si="10"/>
        <v>123.18883539584807</v>
      </c>
      <c r="BO33" s="3">
        <f t="shared" si="11"/>
        <v>273.38490544299583</v>
      </c>
      <c r="BP33" s="3">
        <f t="shared" si="12"/>
        <v>329.72916381801781</v>
      </c>
      <c r="BQ33" s="3">
        <f t="shared" si="13"/>
        <v>75.16867851458673</v>
      </c>
      <c r="BR33" s="3">
        <f t="shared" si="14"/>
        <v>74.272546824198741</v>
      </c>
      <c r="BS33" s="3">
        <f t="shared" si="15"/>
        <v>255.03024925648302</v>
      </c>
      <c r="BT33" s="3">
        <f t="shared" si="16"/>
        <v>110.44692347584501</v>
      </c>
      <c r="BU33" s="3">
        <f t="shared" si="17"/>
        <v>175.69034679724248</v>
      </c>
      <c r="BV33" s="3">
        <f t="shared" si="18"/>
        <v>66.696696060059423</v>
      </c>
      <c r="BW33" s="3">
        <f t="shared" si="19"/>
        <v>283.3471617411866</v>
      </c>
      <c r="BX33" s="3">
        <f t="shared" si="20"/>
        <v>286.5394687440089</v>
      </c>
      <c r="BY33" s="3">
        <f t="shared" si="21"/>
        <v>105.85763207062821</v>
      </c>
      <c r="BZ33" s="3">
        <f t="shared" si="22"/>
        <v>180.53528712632959</v>
      </c>
      <c r="CA33" s="15">
        <f t="shared" si="23"/>
        <v>3.3024530906718921</v>
      </c>
      <c r="CB33" s="15">
        <f t="shared" si="24"/>
        <v>2.1341025553455086</v>
      </c>
      <c r="CC33" s="15">
        <f t="shared" si="25"/>
        <v>0.99377344496075093</v>
      </c>
      <c r="CD33">
        <f t="shared" si="27"/>
        <v>-0.99997544805856176</v>
      </c>
    </row>
    <row r="34" spans="1:82" x14ac:dyDescent="0.25">
      <c r="A34">
        <v>23330</v>
      </c>
      <c r="B34" t="s">
        <v>343</v>
      </c>
      <c r="C34">
        <v>442.62247450000001</v>
      </c>
      <c r="D34">
        <v>0.625145336</v>
      </c>
      <c r="E34">
        <v>0.424634014</v>
      </c>
      <c r="F34">
        <v>16.89669396</v>
      </c>
      <c r="G34">
        <v>7.4217100000000002E-4</v>
      </c>
      <c r="H34">
        <v>5.1051600000000001E-3</v>
      </c>
      <c r="I34" s="5" t="s">
        <v>344</v>
      </c>
      <c r="J34" t="s">
        <v>407</v>
      </c>
      <c r="K34">
        <v>195</v>
      </c>
      <c r="L34">
        <v>20241</v>
      </c>
      <c r="M34">
        <v>39.356000000000002</v>
      </c>
      <c r="N34">
        <v>1952</v>
      </c>
      <c r="O34">
        <v>2.5000000000000001E-2</v>
      </c>
      <c r="P34" t="s">
        <v>88</v>
      </c>
      <c r="Q34" t="s">
        <v>408</v>
      </c>
      <c r="R34">
        <v>7213</v>
      </c>
      <c r="S34">
        <v>0.01</v>
      </c>
      <c r="T34">
        <v>22</v>
      </c>
      <c r="U34" t="s">
        <v>43</v>
      </c>
      <c r="V34">
        <v>-1</v>
      </c>
      <c r="W34">
        <v>49</v>
      </c>
      <c r="X34">
        <v>41</v>
      </c>
      <c r="Y34">
        <v>208</v>
      </c>
      <c r="Z34">
        <v>9178</v>
      </c>
      <c r="AA34">
        <v>10615</v>
      </c>
      <c r="AB34">
        <v>122</v>
      </c>
      <c r="AC34">
        <v>28</v>
      </c>
      <c r="AD34">
        <v>20241</v>
      </c>
      <c r="AE34">
        <v>104</v>
      </c>
      <c r="AF34">
        <v>679</v>
      </c>
      <c r="AG34">
        <v>1603</v>
      </c>
      <c r="AH34">
        <v>406</v>
      </c>
      <c r="AI34">
        <v>52</v>
      </c>
      <c r="AJ34">
        <v>197</v>
      </c>
      <c r="AK34">
        <v>763</v>
      </c>
      <c r="AL34">
        <v>1535</v>
      </c>
      <c r="AM34">
        <v>488</v>
      </c>
      <c r="AN34">
        <v>801</v>
      </c>
      <c r="AO34">
        <v>692</v>
      </c>
      <c r="AP34">
        <v>1533</v>
      </c>
      <c r="AQ34">
        <v>403</v>
      </c>
      <c r="AR34">
        <v>1743</v>
      </c>
      <c r="AS34">
        <v>407</v>
      </c>
      <c r="AT34">
        <v>643</v>
      </c>
      <c r="AU34">
        <v>55</v>
      </c>
      <c r="AV34">
        <v>63</v>
      </c>
      <c r="AW34">
        <v>452</v>
      </c>
      <c r="AX34">
        <v>629</v>
      </c>
      <c r="AY34">
        <v>133</v>
      </c>
      <c r="AZ34">
        <v>299</v>
      </c>
      <c r="BA34">
        <v>491</v>
      </c>
      <c r="BB34">
        <v>90</v>
      </c>
      <c r="BC34" s="3">
        <f t="shared" si="26"/>
        <v>1171.9187972957973</v>
      </c>
      <c r="BD34" s="3">
        <f t="shared" si="0"/>
        <v>1953.5796109585747</v>
      </c>
      <c r="BE34" s="3">
        <f t="shared" si="1"/>
        <v>5080.7838289712445</v>
      </c>
      <c r="BF34" s="3">
        <f t="shared" si="2"/>
        <v>3097.3593104637339</v>
      </c>
      <c r="BG34" s="3">
        <f t="shared" si="3"/>
        <v>780.4204515182555</v>
      </c>
      <c r="BH34" s="3">
        <f t="shared" si="4"/>
        <v>1448.6359291124347</v>
      </c>
      <c r="BI34" s="3">
        <f t="shared" si="5"/>
        <v>2754.2441711457727</v>
      </c>
      <c r="BJ34" s="3">
        <f t="shared" si="6"/>
        <v>5771.1876371009539</v>
      </c>
      <c r="BK34" s="3">
        <f t="shared" si="7"/>
        <v>1894.9951353377955</v>
      </c>
      <c r="BL34" s="3">
        <f t="shared" si="8"/>
        <v>2750.0063943656801</v>
      </c>
      <c r="BM34" s="3">
        <f t="shared" si="9"/>
        <v>2481.6374073129045</v>
      </c>
      <c r="BN34" s="3">
        <f t="shared" si="10"/>
        <v>4721.2121165458775</v>
      </c>
      <c r="BO34" s="3">
        <f t="shared" si="11"/>
        <v>1967.3949445272735</v>
      </c>
      <c r="BP34" s="3">
        <f t="shared" si="12"/>
        <v>3246.9939691231921</v>
      </c>
      <c r="BQ34" s="3">
        <f t="shared" si="13"/>
        <v>2039.5768103624532</v>
      </c>
      <c r="BR34" s="3">
        <f t="shared" si="14"/>
        <v>2984.8279754974865</v>
      </c>
      <c r="BS34" s="3">
        <f t="shared" si="15"/>
        <v>326.20148160712949</v>
      </c>
      <c r="BT34" s="3">
        <f t="shared" si="16"/>
        <v>316.27982631719254</v>
      </c>
      <c r="BU34" s="3">
        <f t="shared" si="17"/>
        <v>2335.6481397751058</v>
      </c>
      <c r="BV34" s="3">
        <f t="shared" si="18"/>
        <v>1498.293636492049</v>
      </c>
      <c r="BW34" s="3">
        <f t="shared" si="19"/>
        <v>607.82536308996475</v>
      </c>
      <c r="BX34" s="3">
        <f t="shared" si="20"/>
        <v>883.25052736555324</v>
      </c>
      <c r="BY34" s="3">
        <f t="shared" si="21"/>
        <v>3712.5783819056037</v>
      </c>
      <c r="BZ34" s="3">
        <f t="shared" si="22"/>
        <v>2708.0293068949431</v>
      </c>
      <c r="CA34" s="15">
        <f t="shared" si="23"/>
        <v>0.32475749035526852</v>
      </c>
      <c r="CB34" s="15">
        <f t="shared" si="24"/>
        <v>0.51002320234847986</v>
      </c>
      <c r="CC34" s="15">
        <f t="shared" si="25"/>
        <v>0.88564306156628414</v>
      </c>
      <c r="CD34" s="11">
        <f t="shared" si="27"/>
        <v>0.98133902872740375</v>
      </c>
    </row>
    <row r="35" spans="1:82" x14ac:dyDescent="0.25">
      <c r="A35">
        <v>38316</v>
      </c>
      <c r="B35" t="s">
        <v>207</v>
      </c>
      <c r="C35">
        <v>207.3072013</v>
      </c>
      <c r="D35">
        <v>0.73436906000000002</v>
      </c>
      <c r="E35">
        <v>0.42448228599999999</v>
      </c>
      <c r="F35">
        <v>16.853228179999999</v>
      </c>
      <c r="G35">
        <v>7.5759999999999998E-4</v>
      </c>
      <c r="H35">
        <v>5.1872079999999996E-3</v>
      </c>
      <c r="I35" s="5" t="s">
        <v>208</v>
      </c>
      <c r="J35" t="s">
        <v>209</v>
      </c>
      <c r="K35">
        <v>396</v>
      </c>
      <c r="L35">
        <v>13357</v>
      </c>
      <c r="M35">
        <v>25.971</v>
      </c>
      <c r="N35">
        <v>165</v>
      </c>
      <c r="O35">
        <v>0.83299999999999996</v>
      </c>
      <c r="P35" t="s">
        <v>36</v>
      </c>
      <c r="Q35" t="s">
        <v>192</v>
      </c>
      <c r="R35">
        <v>7764</v>
      </c>
      <c r="S35">
        <v>1.4E-2</v>
      </c>
      <c r="T35">
        <v>21</v>
      </c>
      <c r="U35" t="s">
        <v>210</v>
      </c>
      <c r="V35">
        <v>-1</v>
      </c>
      <c r="W35">
        <v>174</v>
      </c>
      <c r="X35">
        <v>17</v>
      </c>
      <c r="Y35">
        <v>620</v>
      </c>
      <c r="Z35">
        <v>10410</v>
      </c>
      <c r="AA35">
        <v>2027</v>
      </c>
      <c r="AB35">
        <v>89</v>
      </c>
      <c r="AC35">
        <v>20</v>
      </c>
      <c r="AD35">
        <v>13357</v>
      </c>
      <c r="AE35">
        <v>41</v>
      </c>
      <c r="AF35">
        <v>152</v>
      </c>
      <c r="AG35">
        <v>1256</v>
      </c>
      <c r="AH35">
        <v>108</v>
      </c>
      <c r="AI35">
        <v>23</v>
      </c>
      <c r="AJ35">
        <v>90</v>
      </c>
      <c r="AK35">
        <v>216</v>
      </c>
      <c r="AL35">
        <v>277</v>
      </c>
      <c r="AM35">
        <v>151</v>
      </c>
      <c r="AN35">
        <v>264</v>
      </c>
      <c r="AO35">
        <v>617</v>
      </c>
      <c r="AP35">
        <v>653</v>
      </c>
      <c r="AQ35">
        <v>255</v>
      </c>
      <c r="AR35">
        <v>1130</v>
      </c>
      <c r="AS35">
        <v>161</v>
      </c>
      <c r="AT35">
        <v>148</v>
      </c>
      <c r="AU35">
        <v>42</v>
      </c>
      <c r="AV35">
        <v>120</v>
      </c>
      <c r="AW35">
        <v>454</v>
      </c>
      <c r="AX35">
        <v>245</v>
      </c>
      <c r="AY35">
        <v>75</v>
      </c>
      <c r="AZ35">
        <v>269</v>
      </c>
      <c r="BA35">
        <v>209</v>
      </c>
      <c r="BB35">
        <v>38</v>
      </c>
      <c r="BC35" s="3">
        <f t="shared" si="26"/>
        <v>462.00644893392007</v>
      </c>
      <c r="BD35" s="3">
        <f t="shared" si="0"/>
        <v>437.32562719543938</v>
      </c>
      <c r="BE35" s="3">
        <f t="shared" si="1"/>
        <v>3980.9510225750987</v>
      </c>
      <c r="BF35" s="3">
        <f t="shared" si="2"/>
        <v>823.92809243862882</v>
      </c>
      <c r="BG35" s="3">
        <f t="shared" si="3"/>
        <v>345.18596894076683</v>
      </c>
      <c r="BH35" s="3">
        <f t="shared" si="4"/>
        <v>661.8133686300464</v>
      </c>
      <c r="BI35" s="3">
        <f t="shared" si="5"/>
        <v>779.70739314218474</v>
      </c>
      <c r="BJ35" s="3">
        <f t="shared" si="6"/>
        <v>1041.4455866299443</v>
      </c>
      <c r="BK35" s="3">
        <f t="shared" si="7"/>
        <v>586.36119966394904</v>
      </c>
      <c r="BL35" s="3">
        <f t="shared" si="8"/>
        <v>906.36914870479336</v>
      </c>
      <c r="BM35" s="3">
        <f t="shared" si="9"/>
        <v>2212.6738154798591</v>
      </c>
      <c r="BN35" s="3">
        <f t="shared" si="10"/>
        <v>2011.0577378372197</v>
      </c>
      <c r="BO35" s="3">
        <f t="shared" si="11"/>
        <v>1244.8776944279275</v>
      </c>
      <c r="BP35" s="3">
        <f t="shared" si="12"/>
        <v>2105.0505938664414</v>
      </c>
      <c r="BQ35" s="3">
        <f t="shared" si="13"/>
        <v>806.81048272323096</v>
      </c>
      <c r="BR35" s="3">
        <f t="shared" si="14"/>
        <v>687.02105812383832</v>
      </c>
      <c r="BS35" s="3">
        <f t="shared" si="15"/>
        <v>249.09931322726248</v>
      </c>
      <c r="BT35" s="3">
        <f t="shared" si="16"/>
        <v>602.43776441370005</v>
      </c>
      <c r="BU35" s="3">
        <f t="shared" si="17"/>
        <v>2345.9828660572971</v>
      </c>
      <c r="BV35" s="3">
        <f t="shared" si="18"/>
        <v>583.59609052551991</v>
      </c>
      <c r="BW35" s="3">
        <f t="shared" si="19"/>
        <v>342.75866339659666</v>
      </c>
      <c r="BX35" s="3">
        <f t="shared" si="20"/>
        <v>794.63007311482875</v>
      </c>
      <c r="BY35" s="3">
        <f t="shared" si="21"/>
        <v>1580.3032216258068</v>
      </c>
      <c r="BZ35" s="3">
        <f t="shared" si="22"/>
        <v>1143.3901518000873</v>
      </c>
      <c r="CA35" s="15">
        <f t="shared" ref="CA35:CA64" si="28">AVERAGE(BC35,BG35,BK35,BO35,BS35,BW35)/AVERAGE($BF35,$BJ35,$BN35,$BR35,$BV35,$BZ35)</f>
        <v>0.51352368789129077</v>
      </c>
      <c r="CB35" s="15">
        <f t="shared" ref="CB35:CB64" si="29">AVERAGE(BD35,BH35,BL35,BP35,BT35,BX35)/AVERAGE($BF35,$BJ35,$BN35,$BR35,$BV35,$BZ35)</f>
        <v>0.87555523921245426</v>
      </c>
      <c r="CC35" s="15">
        <f t="shared" ref="CC35:CC64" si="30">AVERAGE(BE35,BI35,BM35,BQ35,BU35,BY35)/AVERAGE($BF35,$BJ35,$BN35,$BR35,$BV35,$BZ35)</f>
        <v>1.8609876556472276</v>
      </c>
      <c r="CD35" s="11">
        <f t="shared" si="27"/>
        <v>0.96612830117286208</v>
      </c>
    </row>
    <row r="36" spans="1:82" x14ac:dyDescent="0.25">
      <c r="A36">
        <v>32538</v>
      </c>
      <c r="B36" t="s">
        <v>345</v>
      </c>
      <c r="C36">
        <v>1.964665712</v>
      </c>
      <c r="D36">
        <v>-0.60782013199999996</v>
      </c>
      <c r="E36">
        <v>1.037587448</v>
      </c>
      <c r="F36">
        <v>16.740073809999998</v>
      </c>
      <c r="G36">
        <v>7.9927700000000004E-4</v>
      </c>
      <c r="H36">
        <v>5.40297E-3</v>
      </c>
      <c r="I36" s="5" t="s">
        <v>501</v>
      </c>
      <c r="J36" t="s">
        <v>409</v>
      </c>
      <c r="K36">
        <v>792</v>
      </c>
      <c r="L36">
        <v>302</v>
      </c>
      <c r="M36">
        <v>0.58699999999999997</v>
      </c>
      <c r="N36">
        <v>147</v>
      </c>
      <c r="O36">
        <v>0.77800000000000002</v>
      </c>
      <c r="P36" t="s">
        <v>47</v>
      </c>
      <c r="Q36" t="s">
        <v>410</v>
      </c>
      <c r="R36">
        <v>48</v>
      </c>
      <c r="S36">
        <v>0.39100000000000001</v>
      </c>
      <c r="T36">
        <v>24</v>
      </c>
      <c r="U36" t="s">
        <v>49</v>
      </c>
      <c r="V36">
        <v>0.2</v>
      </c>
      <c r="W36">
        <v>1</v>
      </c>
      <c r="X36">
        <v>9</v>
      </c>
      <c r="Y36">
        <v>2</v>
      </c>
      <c r="Z36">
        <v>8</v>
      </c>
      <c r="AA36">
        <v>2</v>
      </c>
      <c r="AB36">
        <v>17</v>
      </c>
      <c r="AC36">
        <v>263</v>
      </c>
      <c r="AD36">
        <v>302</v>
      </c>
      <c r="AE36">
        <v>2</v>
      </c>
      <c r="AF36">
        <v>12</v>
      </c>
      <c r="AG36">
        <v>1</v>
      </c>
      <c r="AH36">
        <v>0</v>
      </c>
      <c r="AI36">
        <v>2</v>
      </c>
      <c r="AJ36">
        <v>1</v>
      </c>
      <c r="AK36">
        <v>0</v>
      </c>
      <c r="AL36">
        <v>1</v>
      </c>
      <c r="AM36">
        <v>2</v>
      </c>
      <c r="AN36">
        <v>0</v>
      </c>
      <c r="AO36">
        <v>0</v>
      </c>
      <c r="AP36">
        <v>0</v>
      </c>
      <c r="AQ36">
        <v>7</v>
      </c>
      <c r="AR36">
        <v>0</v>
      </c>
      <c r="AS36">
        <v>0</v>
      </c>
      <c r="AT36">
        <v>0</v>
      </c>
      <c r="AU36">
        <v>4</v>
      </c>
      <c r="AV36">
        <v>4</v>
      </c>
      <c r="AW36">
        <v>0</v>
      </c>
      <c r="AX36">
        <v>0</v>
      </c>
      <c r="AY36">
        <v>3</v>
      </c>
      <c r="AZ36">
        <v>10</v>
      </c>
      <c r="BA36">
        <v>1</v>
      </c>
      <c r="BB36">
        <v>0</v>
      </c>
      <c r="BC36" s="3">
        <f t="shared" si="26"/>
        <v>22.536899947996101</v>
      </c>
      <c r="BD36" s="3">
        <f t="shared" si="0"/>
        <v>34.52570741016627</v>
      </c>
      <c r="BE36" s="3">
        <f t="shared" si="1"/>
        <v>3.1695469924960973</v>
      </c>
      <c r="BF36" s="3">
        <f t="shared" si="2"/>
        <v>0</v>
      </c>
      <c r="BG36" s="3">
        <f t="shared" si="3"/>
        <v>30.016171212240597</v>
      </c>
      <c r="BH36" s="3">
        <f t="shared" si="4"/>
        <v>7.3534818736671808</v>
      </c>
      <c r="BI36" s="3">
        <f t="shared" si="5"/>
        <v>0</v>
      </c>
      <c r="BJ36" s="3">
        <f t="shared" si="6"/>
        <v>3.7597313596748885</v>
      </c>
      <c r="BK36" s="3">
        <f t="shared" si="7"/>
        <v>7.7663735054827692</v>
      </c>
      <c r="BL36" s="3">
        <f t="shared" si="8"/>
        <v>0</v>
      </c>
      <c r="BM36" s="3">
        <f t="shared" si="9"/>
        <v>0</v>
      </c>
      <c r="BN36" s="3">
        <f t="shared" si="10"/>
        <v>0</v>
      </c>
      <c r="BO36" s="3">
        <f t="shared" si="11"/>
        <v>34.173113180374479</v>
      </c>
      <c r="BP36" s="3">
        <f t="shared" si="12"/>
        <v>0</v>
      </c>
      <c r="BQ36" s="3">
        <f t="shared" si="13"/>
        <v>0</v>
      </c>
      <c r="BR36" s="3">
        <f t="shared" si="14"/>
        <v>0</v>
      </c>
      <c r="BS36" s="3">
        <f t="shared" si="15"/>
        <v>23.723744116882141</v>
      </c>
      <c r="BT36" s="3">
        <f t="shared" si="16"/>
        <v>20.081258813790004</v>
      </c>
      <c r="BU36" s="3">
        <f t="shared" si="17"/>
        <v>0</v>
      </c>
      <c r="BV36" s="3">
        <f t="shared" si="18"/>
        <v>0</v>
      </c>
      <c r="BW36" s="3">
        <f t="shared" si="19"/>
        <v>13.710346535863867</v>
      </c>
      <c r="BX36" s="3">
        <f t="shared" si="20"/>
        <v>29.540151416908131</v>
      </c>
      <c r="BY36" s="3">
        <f t="shared" si="21"/>
        <v>7.5612594336163008</v>
      </c>
      <c r="BZ36" s="3">
        <f t="shared" si="22"/>
        <v>0</v>
      </c>
      <c r="CA36" s="15">
        <f t="shared" si="28"/>
        <v>35.089381628119284</v>
      </c>
      <c r="CB36" s="15">
        <f t="shared" si="29"/>
        <v>24.337004631746836</v>
      </c>
      <c r="CC36" s="15">
        <f t="shared" si="30"/>
        <v>2.8541417988545628</v>
      </c>
      <c r="CD36">
        <f t="shared" si="27"/>
        <v>-0.98202811069752594</v>
      </c>
    </row>
    <row r="37" spans="1:82" x14ac:dyDescent="0.25">
      <c r="A37">
        <v>2829</v>
      </c>
      <c r="B37" t="s">
        <v>189</v>
      </c>
      <c r="C37">
        <v>2049.2550630000001</v>
      </c>
      <c r="D37">
        <v>0.61458373799999999</v>
      </c>
      <c r="E37">
        <v>0.42015004700000003</v>
      </c>
      <c r="F37">
        <v>15.98282684</v>
      </c>
      <c r="G37">
        <v>1.1432149999999999E-3</v>
      </c>
      <c r="H37">
        <v>7.0332770000000001E-3</v>
      </c>
      <c r="I37" s="5" t="s">
        <v>190</v>
      </c>
      <c r="J37" t="s">
        <v>191</v>
      </c>
      <c r="K37">
        <v>301</v>
      </c>
      <c r="L37">
        <v>130547</v>
      </c>
      <c r="M37">
        <v>253.83</v>
      </c>
      <c r="N37">
        <v>1567</v>
      </c>
      <c r="O37">
        <v>0.186</v>
      </c>
      <c r="P37" t="s">
        <v>88</v>
      </c>
      <c r="Q37" t="s">
        <v>192</v>
      </c>
      <c r="R37">
        <v>74110</v>
      </c>
      <c r="S37">
        <v>3.0000000000000001E-3</v>
      </c>
      <c r="T37">
        <v>21</v>
      </c>
      <c r="U37" t="s">
        <v>43</v>
      </c>
      <c r="V37">
        <v>-1</v>
      </c>
      <c r="W37">
        <v>1985</v>
      </c>
      <c r="X37">
        <v>32</v>
      </c>
      <c r="Y37">
        <v>6821</v>
      </c>
      <c r="Z37">
        <v>101206</v>
      </c>
      <c r="AA37">
        <v>19489</v>
      </c>
      <c r="AB37">
        <v>958</v>
      </c>
      <c r="AC37">
        <v>56</v>
      </c>
      <c r="AD37">
        <v>130547</v>
      </c>
      <c r="AE37">
        <v>536</v>
      </c>
      <c r="AF37">
        <v>1751</v>
      </c>
      <c r="AG37">
        <v>12221</v>
      </c>
      <c r="AH37">
        <v>1015</v>
      </c>
      <c r="AI37">
        <v>186</v>
      </c>
      <c r="AJ37">
        <v>679</v>
      </c>
      <c r="AK37">
        <v>2274</v>
      </c>
      <c r="AL37">
        <v>2816</v>
      </c>
      <c r="AM37">
        <v>1462</v>
      </c>
      <c r="AN37">
        <v>2669</v>
      </c>
      <c r="AO37">
        <v>6020</v>
      </c>
      <c r="AP37">
        <v>6181</v>
      </c>
      <c r="AQ37">
        <v>2777</v>
      </c>
      <c r="AR37">
        <v>10924</v>
      </c>
      <c r="AS37">
        <v>1586</v>
      </c>
      <c r="AT37">
        <v>1530</v>
      </c>
      <c r="AU37">
        <v>398</v>
      </c>
      <c r="AV37">
        <v>1268</v>
      </c>
      <c r="AW37">
        <v>4632</v>
      </c>
      <c r="AX37">
        <v>2468</v>
      </c>
      <c r="AY37">
        <v>844</v>
      </c>
      <c r="AZ37">
        <v>2322</v>
      </c>
      <c r="BA37">
        <v>1989</v>
      </c>
      <c r="BB37">
        <v>372</v>
      </c>
      <c r="BC37" s="3">
        <f t="shared" si="26"/>
        <v>6039.8891860629556</v>
      </c>
      <c r="BD37" s="3">
        <f t="shared" si="0"/>
        <v>5037.8761396000946</v>
      </c>
      <c r="BE37" s="3">
        <f t="shared" si="1"/>
        <v>38735.03379529481</v>
      </c>
      <c r="BF37" s="3">
        <f t="shared" si="2"/>
        <v>7743.3982761593352</v>
      </c>
      <c r="BG37" s="3">
        <f t="shared" si="3"/>
        <v>2791.5039227383754</v>
      </c>
      <c r="BH37" s="3">
        <f t="shared" si="4"/>
        <v>4993.0141922200155</v>
      </c>
      <c r="BI37" s="3">
        <f t="shared" si="5"/>
        <v>8208.5861666913333</v>
      </c>
      <c r="BJ37" s="3">
        <f t="shared" si="6"/>
        <v>10587.403508844485</v>
      </c>
      <c r="BK37" s="3">
        <f t="shared" si="7"/>
        <v>5677.2190325079036</v>
      </c>
      <c r="BL37" s="3">
        <f t="shared" si="8"/>
        <v>9163.2547647465653</v>
      </c>
      <c r="BM37" s="3">
        <f t="shared" si="9"/>
        <v>21588.810971132498</v>
      </c>
      <c r="BN37" s="3">
        <f t="shared" si="10"/>
        <v>19035.754789543422</v>
      </c>
      <c r="BO37" s="3">
        <f t="shared" si="11"/>
        <v>13556.962185985705</v>
      </c>
      <c r="BP37" s="3">
        <f t="shared" si="12"/>
        <v>20350.064325130097</v>
      </c>
      <c r="BQ37" s="3">
        <f t="shared" si="13"/>
        <v>7947.8349416089704</v>
      </c>
      <c r="BR37" s="3">
        <f t="shared" si="14"/>
        <v>7102.3122900640037</v>
      </c>
      <c r="BS37" s="3">
        <f t="shared" si="15"/>
        <v>2360.5125396297731</v>
      </c>
      <c r="BT37" s="3">
        <f t="shared" si="16"/>
        <v>6365.7590439714304</v>
      </c>
      <c r="BU37" s="3">
        <f t="shared" si="17"/>
        <v>23935.226069553744</v>
      </c>
      <c r="BV37" s="3">
        <f t="shared" si="18"/>
        <v>5878.8373527223803</v>
      </c>
      <c r="BW37" s="3">
        <f t="shared" si="19"/>
        <v>3857.1774920897014</v>
      </c>
      <c r="BX37" s="3">
        <f t="shared" si="20"/>
        <v>6859.2231590060683</v>
      </c>
      <c r="BY37" s="3">
        <f t="shared" si="21"/>
        <v>15039.345013462822</v>
      </c>
      <c r="BZ37" s="3">
        <f t="shared" si="22"/>
        <v>11193.187801832433</v>
      </c>
      <c r="CA37" s="15">
        <f t="shared" si="28"/>
        <v>0.55708102564024131</v>
      </c>
      <c r="CB37" s="15">
        <f t="shared" si="29"/>
        <v>0.8574654701675285</v>
      </c>
      <c r="CC37" s="15">
        <f t="shared" si="30"/>
        <v>1.8760669437429263</v>
      </c>
      <c r="CD37" s="11">
        <f t="shared" si="27"/>
        <v>0.95396798558115348</v>
      </c>
    </row>
    <row r="38" spans="1:82" x14ac:dyDescent="0.25">
      <c r="A38">
        <v>24848</v>
      </c>
      <c r="B38" t="s">
        <v>346</v>
      </c>
      <c r="C38">
        <v>28246.37599</v>
      </c>
      <c r="D38">
        <v>0.77710752800000005</v>
      </c>
      <c r="E38">
        <v>0.388167647</v>
      </c>
      <c r="F38">
        <v>15.474079359999999</v>
      </c>
      <c r="G38">
        <v>1.4532289999999999E-3</v>
      </c>
      <c r="H38">
        <v>8.4020499999999994E-3</v>
      </c>
      <c r="I38" s="5" t="s">
        <v>347</v>
      </c>
      <c r="J38" t="s">
        <v>411</v>
      </c>
      <c r="K38">
        <v>1500</v>
      </c>
      <c r="L38">
        <v>877786</v>
      </c>
      <c r="M38">
        <v>1706.7270000000001</v>
      </c>
      <c r="N38">
        <v>877746</v>
      </c>
      <c r="O38">
        <v>0.999</v>
      </c>
      <c r="P38" t="s">
        <v>36</v>
      </c>
      <c r="Q38" t="s">
        <v>412</v>
      </c>
      <c r="R38">
        <v>632340</v>
      </c>
      <c r="S38">
        <v>5.0000000000000001E-3</v>
      </c>
      <c r="T38" t="s">
        <v>413</v>
      </c>
      <c r="U38" t="s">
        <v>414</v>
      </c>
      <c r="V38">
        <v>-1</v>
      </c>
      <c r="W38">
        <v>1267</v>
      </c>
      <c r="X38">
        <v>869894</v>
      </c>
      <c r="Y38">
        <v>1765</v>
      </c>
      <c r="Z38">
        <v>1502</v>
      </c>
      <c r="AA38">
        <v>1220</v>
      </c>
      <c r="AB38">
        <v>1259</v>
      </c>
      <c r="AC38">
        <v>879</v>
      </c>
      <c r="AD38">
        <v>877786</v>
      </c>
      <c r="AE38">
        <v>6367</v>
      </c>
      <c r="AF38">
        <v>39065</v>
      </c>
      <c r="AG38">
        <v>73214</v>
      </c>
      <c r="AH38">
        <v>12098</v>
      </c>
      <c r="AI38">
        <v>4220</v>
      </c>
      <c r="AJ38">
        <v>15050</v>
      </c>
      <c r="AK38">
        <v>25233</v>
      </c>
      <c r="AL38">
        <v>46703</v>
      </c>
      <c r="AM38">
        <v>15902</v>
      </c>
      <c r="AN38">
        <v>44281</v>
      </c>
      <c r="AO38">
        <v>68002</v>
      </c>
      <c r="AP38">
        <v>33446</v>
      </c>
      <c r="AQ38">
        <v>28609</v>
      </c>
      <c r="AR38">
        <v>129094</v>
      </c>
      <c r="AS38">
        <v>16519</v>
      </c>
      <c r="AT38">
        <v>24078</v>
      </c>
      <c r="AU38">
        <v>11545</v>
      </c>
      <c r="AV38">
        <v>26095</v>
      </c>
      <c r="AW38">
        <v>93270</v>
      </c>
      <c r="AX38">
        <v>26464</v>
      </c>
      <c r="AY38">
        <v>14059</v>
      </c>
      <c r="AZ38">
        <v>31748</v>
      </c>
      <c r="BA38">
        <v>38690</v>
      </c>
      <c r="BB38">
        <v>8623</v>
      </c>
      <c r="BC38" s="3">
        <f t="shared" si="26"/>
        <v>71746.220984445594</v>
      </c>
      <c r="BD38" s="3">
        <f t="shared" si="0"/>
        <v>112395.56333151211</v>
      </c>
      <c r="BE38" s="3">
        <f t="shared" si="1"/>
        <v>232055.21350860927</v>
      </c>
      <c r="BF38" s="3">
        <f t="shared" si="2"/>
        <v>92295.204280764185</v>
      </c>
      <c r="BG38" s="3">
        <f t="shared" si="3"/>
        <v>63334.121257827654</v>
      </c>
      <c r="BH38" s="3">
        <f t="shared" si="4"/>
        <v>110669.90219869108</v>
      </c>
      <c r="BI38" s="3">
        <f t="shared" si="5"/>
        <v>91084.984496096047</v>
      </c>
      <c r="BJ38" s="3">
        <f t="shared" si="6"/>
        <v>175590.7336908963</v>
      </c>
      <c r="BK38" s="3">
        <f t="shared" si="7"/>
        <v>61750.43574209349</v>
      </c>
      <c r="BL38" s="3">
        <f t="shared" si="8"/>
        <v>152026.25861286724</v>
      </c>
      <c r="BM38" s="3">
        <f t="shared" si="9"/>
        <v>243867.49562441063</v>
      </c>
      <c r="BN38" s="3">
        <f t="shared" si="10"/>
        <v>103004.34471623837</v>
      </c>
      <c r="BO38" s="3">
        <f t="shared" si="11"/>
        <v>139665.51356819048</v>
      </c>
      <c r="BP38" s="3">
        <f t="shared" si="12"/>
        <v>240486.19589787116</v>
      </c>
      <c r="BQ38" s="3">
        <f t="shared" si="13"/>
        <v>82780.76002549722</v>
      </c>
      <c r="BR38" s="3">
        <f t="shared" si="14"/>
        <v>111770.89890206608</v>
      </c>
      <c r="BS38" s="3">
        <f t="shared" si="15"/>
        <v>68472.656457351084</v>
      </c>
      <c r="BT38" s="3">
        <f t="shared" si="16"/>
        <v>131005.11218646253</v>
      </c>
      <c r="BU38" s="3">
        <f t="shared" si="17"/>
        <v>481959.96016996494</v>
      </c>
      <c r="BV38" s="3">
        <f t="shared" si="18"/>
        <v>63037.905876193312</v>
      </c>
      <c r="BW38" s="3">
        <f t="shared" si="19"/>
        <v>64251.253982570037</v>
      </c>
      <c r="BX38" s="3">
        <f t="shared" si="20"/>
        <v>93784.072718399926</v>
      </c>
      <c r="BY38" s="3">
        <f t="shared" si="21"/>
        <v>292545.12748661469</v>
      </c>
      <c r="BZ38" s="3">
        <f t="shared" si="22"/>
        <v>259459.29681505664</v>
      </c>
      <c r="CA38" s="15">
        <f t="shared" si="28"/>
        <v>0.5827675785943196</v>
      </c>
      <c r="CB38" s="15">
        <f t="shared" si="29"/>
        <v>1.0437289375009375</v>
      </c>
      <c r="CC38" s="15">
        <f t="shared" si="30"/>
        <v>1.7689607027848255</v>
      </c>
      <c r="CD38" s="11">
        <f t="shared" si="27"/>
        <v>0.99182878908344829</v>
      </c>
    </row>
    <row r="39" spans="1:82" x14ac:dyDescent="0.25">
      <c r="A39">
        <v>18643</v>
      </c>
      <c r="B39" t="s">
        <v>348</v>
      </c>
      <c r="C39">
        <v>16.553658510000002</v>
      </c>
      <c r="D39">
        <v>-0.92060866699999999</v>
      </c>
      <c r="E39">
        <v>0.61151570499999996</v>
      </c>
      <c r="F39">
        <v>15.19649463</v>
      </c>
      <c r="G39">
        <v>1.6562020000000001E-3</v>
      </c>
      <c r="H39">
        <v>9.2673870000000002E-3</v>
      </c>
      <c r="I39" s="5" t="s">
        <v>487</v>
      </c>
      <c r="J39" t="s">
        <v>415</v>
      </c>
      <c r="K39">
        <v>884</v>
      </c>
      <c r="L39">
        <v>1460</v>
      </c>
      <c r="M39">
        <v>2.839</v>
      </c>
      <c r="N39">
        <v>1131</v>
      </c>
      <c r="O39">
        <v>0.625</v>
      </c>
      <c r="P39" t="s">
        <v>47</v>
      </c>
      <c r="Q39" t="s">
        <v>416</v>
      </c>
      <c r="R39">
        <v>143</v>
      </c>
      <c r="S39">
        <v>0.246</v>
      </c>
      <c r="T39">
        <v>21</v>
      </c>
      <c r="U39" t="s">
        <v>49</v>
      </c>
      <c r="V39">
        <v>83</v>
      </c>
      <c r="W39">
        <v>187</v>
      </c>
      <c r="X39">
        <v>46</v>
      </c>
      <c r="Y39">
        <v>100</v>
      </c>
      <c r="Z39">
        <v>836</v>
      </c>
      <c r="AA39">
        <v>143</v>
      </c>
      <c r="AB39">
        <v>72</v>
      </c>
      <c r="AC39">
        <v>76</v>
      </c>
      <c r="AD39">
        <v>1460</v>
      </c>
      <c r="AE39">
        <v>11</v>
      </c>
      <c r="AF39">
        <v>38</v>
      </c>
      <c r="AG39">
        <v>14</v>
      </c>
      <c r="AH39">
        <v>0</v>
      </c>
      <c r="AI39">
        <v>2</v>
      </c>
      <c r="AJ39">
        <v>19</v>
      </c>
      <c r="AK39">
        <v>17</v>
      </c>
      <c r="AL39">
        <v>5</v>
      </c>
      <c r="AM39">
        <v>65</v>
      </c>
      <c r="AN39">
        <v>8</v>
      </c>
      <c r="AO39">
        <v>1</v>
      </c>
      <c r="AP39">
        <v>20</v>
      </c>
      <c r="AQ39">
        <v>62</v>
      </c>
      <c r="AR39">
        <v>28</v>
      </c>
      <c r="AS39">
        <v>15</v>
      </c>
      <c r="AT39">
        <v>6</v>
      </c>
      <c r="AU39">
        <v>19</v>
      </c>
      <c r="AV39">
        <v>25</v>
      </c>
      <c r="AW39">
        <v>1</v>
      </c>
      <c r="AX39">
        <v>38</v>
      </c>
      <c r="AY39">
        <v>43</v>
      </c>
      <c r="AZ39">
        <v>38</v>
      </c>
      <c r="BA39">
        <v>8</v>
      </c>
      <c r="BB39">
        <v>1</v>
      </c>
      <c r="BC39" s="3">
        <f t="shared" si="26"/>
        <v>123.95294971397857</v>
      </c>
      <c r="BD39" s="3">
        <f t="shared" si="0"/>
        <v>109.33140679885985</v>
      </c>
      <c r="BE39" s="3">
        <f t="shared" si="1"/>
        <v>44.37365789494536</v>
      </c>
      <c r="BF39" s="3">
        <f t="shared" si="2"/>
        <v>0</v>
      </c>
      <c r="BG39" s="3">
        <f t="shared" si="3"/>
        <v>30.016171212240597</v>
      </c>
      <c r="BH39" s="3">
        <f t="shared" si="4"/>
        <v>139.71615559967645</v>
      </c>
      <c r="BI39" s="3">
        <f t="shared" si="5"/>
        <v>61.365859645449717</v>
      </c>
      <c r="BJ39" s="3">
        <f t="shared" si="6"/>
        <v>18.798656798374441</v>
      </c>
      <c r="BK39" s="3">
        <f t="shared" si="7"/>
        <v>252.40713892818997</v>
      </c>
      <c r="BL39" s="3">
        <f t="shared" si="8"/>
        <v>27.465731778933133</v>
      </c>
      <c r="BM39" s="3">
        <f t="shared" si="9"/>
        <v>3.5861812244406139</v>
      </c>
      <c r="BN39" s="3">
        <f t="shared" si="10"/>
        <v>61.594417697924037</v>
      </c>
      <c r="BO39" s="3">
        <f t="shared" si="11"/>
        <v>302.67614531188826</v>
      </c>
      <c r="BP39" s="3">
        <f t="shared" si="12"/>
        <v>52.160545688725982</v>
      </c>
      <c r="BQ39" s="3">
        <f t="shared" si="13"/>
        <v>75.16867851458673</v>
      </c>
      <c r="BR39" s="3">
        <f t="shared" si="14"/>
        <v>27.852205059074528</v>
      </c>
      <c r="BS39" s="3">
        <f t="shared" si="15"/>
        <v>112.68778455519018</v>
      </c>
      <c r="BT39" s="3">
        <f t="shared" si="16"/>
        <v>125.5078675861875</v>
      </c>
      <c r="BU39" s="3">
        <f t="shared" si="17"/>
        <v>5.1673631410953673</v>
      </c>
      <c r="BV39" s="3">
        <f t="shared" si="18"/>
        <v>90.516944652937781</v>
      </c>
      <c r="BW39" s="3">
        <f t="shared" si="19"/>
        <v>196.51496701404875</v>
      </c>
      <c r="BX39" s="3">
        <f t="shared" si="20"/>
        <v>112.2525753842509</v>
      </c>
      <c r="BY39" s="3">
        <f t="shared" si="21"/>
        <v>60.490075468930407</v>
      </c>
      <c r="BZ39" s="3">
        <f t="shared" si="22"/>
        <v>30.089214521054927</v>
      </c>
      <c r="CA39" s="15">
        <f>AVERAGE(BC39,BG39,BK39,BO39,BS39,BW39)/AVERAGE($BF39,$BJ39,$BN39,$BR39,$BV39,$BZ39)</f>
        <v>4.4494155788974545</v>
      </c>
      <c r="CB39" s="15">
        <f t="shared" si="29"/>
        <v>2.4751178580375255</v>
      </c>
      <c r="CC39" s="15">
        <f t="shared" si="30"/>
        <v>1.0930751289061011</v>
      </c>
      <c r="CD39">
        <f t="shared" si="27"/>
        <v>-0.99485044800037847</v>
      </c>
    </row>
    <row r="40" spans="1:82" x14ac:dyDescent="0.25">
      <c r="A40">
        <v>5554</v>
      </c>
      <c r="B40" t="s">
        <v>349</v>
      </c>
      <c r="C40">
        <v>12.17251533</v>
      </c>
      <c r="D40">
        <v>-0.40800718899999999</v>
      </c>
      <c r="E40">
        <v>0.709805872</v>
      </c>
      <c r="F40">
        <v>15.074692600000001</v>
      </c>
      <c r="G40">
        <v>1.7539190000000001E-3</v>
      </c>
      <c r="H40">
        <v>9.6739809999999999E-3</v>
      </c>
      <c r="I40" s="5" t="s">
        <v>350</v>
      </c>
      <c r="J40" t="s">
        <v>417</v>
      </c>
      <c r="K40">
        <v>648</v>
      </c>
      <c r="L40">
        <v>37034</v>
      </c>
      <c r="M40">
        <v>72.007000000000005</v>
      </c>
      <c r="N40">
        <v>485</v>
      </c>
      <c r="O40">
        <v>0.997</v>
      </c>
      <c r="P40" t="s">
        <v>36</v>
      </c>
      <c r="Q40" t="s">
        <v>251</v>
      </c>
      <c r="R40">
        <v>32024</v>
      </c>
      <c r="S40">
        <v>6.0000000000000001E-3</v>
      </c>
      <c r="T40">
        <v>21</v>
      </c>
      <c r="U40" t="s">
        <v>49</v>
      </c>
      <c r="V40">
        <v>-1</v>
      </c>
      <c r="W40">
        <v>73</v>
      </c>
      <c r="X40">
        <v>17</v>
      </c>
      <c r="Y40">
        <v>263</v>
      </c>
      <c r="Z40">
        <v>36015</v>
      </c>
      <c r="AA40">
        <v>543</v>
      </c>
      <c r="AB40">
        <v>101</v>
      </c>
      <c r="AC40">
        <v>22</v>
      </c>
      <c r="AD40">
        <v>37034</v>
      </c>
      <c r="AE40">
        <v>4</v>
      </c>
      <c r="AF40">
        <v>45</v>
      </c>
      <c r="AG40">
        <v>23</v>
      </c>
      <c r="AH40">
        <v>0</v>
      </c>
      <c r="AI40">
        <v>5</v>
      </c>
      <c r="AJ40">
        <v>36</v>
      </c>
      <c r="AK40">
        <v>11</v>
      </c>
      <c r="AL40">
        <v>12</v>
      </c>
      <c r="AM40">
        <v>74</v>
      </c>
      <c r="AN40">
        <v>1</v>
      </c>
      <c r="AO40">
        <v>5</v>
      </c>
      <c r="AP40">
        <v>6</v>
      </c>
      <c r="AQ40">
        <v>13</v>
      </c>
      <c r="AR40">
        <v>26</v>
      </c>
      <c r="AS40">
        <v>1</v>
      </c>
      <c r="AT40">
        <v>0</v>
      </c>
      <c r="AU40">
        <v>16</v>
      </c>
      <c r="AV40">
        <v>11</v>
      </c>
      <c r="AW40">
        <v>10</v>
      </c>
      <c r="AX40">
        <v>0</v>
      </c>
      <c r="AY40">
        <v>19</v>
      </c>
      <c r="AZ40">
        <v>22</v>
      </c>
      <c r="BA40">
        <v>6</v>
      </c>
      <c r="BB40">
        <v>2</v>
      </c>
      <c r="BC40" s="3">
        <f t="shared" si="26"/>
        <v>45.073799895992202</v>
      </c>
      <c r="BD40" s="3">
        <f t="shared" si="0"/>
        <v>129.4714027881235</v>
      </c>
      <c r="BE40" s="3">
        <f t="shared" si="1"/>
        <v>72.899580827410247</v>
      </c>
      <c r="BF40" s="3">
        <f t="shared" si="2"/>
        <v>0</v>
      </c>
      <c r="BG40" s="3">
        <f t="shared" si="3"/>
        <v>75.04042803060149</v>
      </c>
      <c r="BH40" s="3">
        <f t="shared" si="4"/>
        <v>264.72534745201853</v>
      </c>
      <c r="BI40" s="3">
        <f t="shared" si="5"/>
        <v>39.707320947055706</v>
      </c>
      <c r="BJ40" s="3">
        <f t="shared" si="6"/>
        <v>45.116776316098665</v>
      </c>
      <c r="BK40" s="3">
        <f t="shared" si="7"/>
        <v>287.35581970286245</v>
      </c>
      <c r="BL40" s="3">
        <f t="shared" si="8"/>
        <v>3.4332164723666416</v>
      </c>
      <c r="BM40" s="3">
        <f t="shared" si="9"/>
        <v>17.930906122203069</v>
      </c>
      <c r="BN40" s="3">
        <f t="shared" si="10"/>
        <v>18.478325309377212</v>
      </c>
      <c r="BO40" s="3">
        <f t="shared" si="11"/>
        <v>63.46435304926689</v>
      </c>
      <c r="BP40" s="3">
        <f t="shared" si="12"/>
        <v>48.434792425245561</v>
      </c>
      <c r="BQ40" s="3">
        <f t="shared" si="13"/>
        <v>5.0112452343057825</v>
      </c>
      <c r="BR40" s="3">
        <f t="shared" si="14"/>
        <v>0</v>
      </c>
      <c r="BS40" s="3">
        <f t="shared" si="15"/>
        <v>94.894976467528565</v>
      </c>
      <c r="BT40" s="3">
        <f t="shared" si="16"/>
        <v>55.223461737922506</v>
      </c>
      <c r="BU40" s="3">
        <f t="shared" si="17"/>
        <v>51.673631410953675</v>
      </c>
      <c r="BV40" s="3">
        <f t="shared" si="18"/>
        <v>0</v>
      </c>
      <c r="BW40" s="3">
        <f t="shared" si="19"/>
        <v>86.832194727137818</v>
      </c>
      <c r="BX40" s="3">
        <f t="shared" si="20"/>
        <v>64.988333117197882</v>
      </c>
      <c r="BY40" s="3">
        <f t="shared" si="21"/>
        <v>45.3675566016978</v>
      </c>
      <c r="BZ40" s="3">
        <f t="shared" si="22"/>
        <v>60.178429042109855</v>
      </c>
      <c r="CA40" s="15">
        <f t="shared" si="28"/>
        <v>5.2730302541519949</v>
      </c>
      <c r="CB40" s="15">
        <f t="shared" si="29"/>
        <v>4.5751022123922755</v>
      </c>
      <c r="CC40" s="15">
        <f t="shared" si="30"/>
        <v>1.8791597839144285</v>
      </c>
      <c r="CD40">
        <f t="shared" si="27"/>
        <v>-0.94680350306607319</v>
      </c>
    </row>
    <row r="41" spans="1:82" x14ac:dyDescent="0.25">
      <c r="A41">
        <v>38344</v>
      </c>
      <c r="B41" t="s">
        <v>222</v>
      </c>
      <c r="C41">
        <v>179.6088896</v>
      </c>
      <c r="D41">
        <v>0.69323616099999996</v>
      </c>
      <c r="E41">
        <v>0.43019200800000001</v>
      </c>
      <c r="F41">
        <v>14.6756572</v>
      </c>
      <c r="G41">
        <v>2.115886E-3</v>
      </c>
      <c r="H41">
        <v>1.1080843999999999E-2</v>
      </c>
      <c r="I41" s="5" t="s">
        <v>223</v>
      </c>
      <c r="J41" t="s">
        <v>224</v>
      </c>
      <c r="K41">
        <v>218</v>
      </c>
      <c r="L41">
        <v>11691</v>
      </c>
      <c r="M41">
        <v>22.731000000000002</v>
      </c>
      <c r="N41">
        <v>144</v>
      </c>
      <c r="O41">
        <v>0.83699999999999997</v>
      </c>
      <c r="P41" t="s">
        <v>36</v>
      </c>
      <c r="Q41" t="s">
        <v>192</v>
      </c>
      <c r="R41">
        <v>6894</v>
      </c>
      <c r="S41">
        <v>1.4E-2</v>
      </c>
      <c r="T41">
        <v>21</v>
      </c>
      <c r="U41" t="s">
        <v>43</v>
      </c>
      <c r="V41">
        <v>-1</v>
      </c>
      <c r="W41">
        <v>153</v>
      </c>
      <c r="X41">
        <v>14</v>
      </c>
      <c r="Y41">
        <v>549</v>
      </c>
      <c r="Z41">
        <v>9177</v>
      </c>
      <c r="AA41">
        <v>1732</v>
      </c>
      <c r="AB41">
        <v>58</v>
      </c>
      <c r="AC41">
        <v>8</v>
      </c>
      <c r="AD41">
        <v>11691</v>
      </c>
      <c r="AE41">
        <v>41</v>
      </c>
      <c r="AF41">
        <v>166</v>
      </c>
      <c r="AG41">
        <v>1110</v>
      </c>
      <c r="AH41">
        <v>83</v>
      </c>
      <c r="AI41">
        <v>17</v>
      </c>
      <c r="AJ41">
        <v>78</v>
      </c>
      <c r="AK41">
        <v>199</v>
      </c>
      <c r="AL41">
        <v>252</v>
      </c>
      <c r="AM41">
        <v>135</v>
      </c>
      <c r="AN41">
        <v>237</v>
      </c>
      <c r="AO41">
        <v>560</v>
      </c>
      <c r="AP41">
        <v>536</v>
      </c>
      <c r="AQ41">
        <v>231</v>
      </c>
      <c r="AR41">
        <v>975</v>
      </c>
      <c r="AS41">
        <v>113</v>
      </c>
      <c r="AT41">
        <v>123</v>
      </c>
      <c r="AU41">
        <v>34</v>
      </c>
      <c r="AV41">
        <v>122</v>
      </c>
      <c r="AW41">
        <v>379</v>
      </c>
      <c r="AX41">
        <v>177</v>
      </c>
      <c r="AY41">
        <v>86</v>
      </c>
      <c r="AZ41">
        <v>199</v>
      </c>
      <c r="BA41">
        <v>167</v>
      </c>
      <c r="BB41">
        <v>38</v>
      </c>
      <c r="BC41" s="3">
        <f t="shared" si="26"/>
        <v>462.00644893392007</v>
      </c>
      <c r="BD41" s="3">
        <f t="shared" si="0"/>
        <v>477.60561917396672</v>
      </c>
      <c r="BE41" s="3">
        <f t="shared" si="1"/>
        <v>3518.1971616706678</v>
      </c>
      <c r="BF41" s="3">
        <f t="shared" si="2"/>
        <v>633.20399696672405</v>
      </c>
      <c r="BG41" s="3">
        <f t="shared" si="3"/>
        <v>255.13745530404506</v>
      </c>
      <c r="BH41" s="3">
        <f t="shared" si="4"/>
        <v>573.5715861460402</v>
      </c>
      <c r="BI41" s="3">
        <f t="shared" si="5"/>
        <v>718.341533496735</v>
      </c>
      <c r="BJ41" s="3">
        <f t="shared" si="6"/>
        <v>947.45230263807196</v>
      </c>
      <c r="BK41" s="3">
        <f t="shared" si="7"/>
        <v>524.23021162008683</v>
      </c>
      <c r="BL41" s="3">
        <f t="shared" si="8"/>
        <v>813.67230395089393</v>
      </c>
      <c r="BM41" s="3">
        <f t="shared" si="9"/>
        <v>2008.2614856867438</v>
      </c>
      <c r="BN41" s="3">
        <f t="shared" si="10"/>
        <v>1650.7303943043642</v>
      </c>
      <c r="BO41" s="3">
        <f t="shared" si="11"/>
        <v>1127.7127349523578</v>
      </c>
      <c r="BP41" s="3">
        <f t="shared" si="12"/>
        <v>1816.3047159467083</v>
      </c>
      <c r="BQ41" s="3">
        <f t="shared" si="13"/>
        <v>566.2707114765534</v>
      </c>
      <c r="BR41" s="3">
        <f t="shared" si="14"/>
        <v>570.97020371102781</v>
      </c>
      <c r="BS41" s="3">
        <f t="shared" si="15"/>
        <v>201.65182499349822</v>
      </c>
      <c r="BT41" s="3">
        <f t="shared" si="16"/>
        <v>612.4783938205951</v>
      </c>
      <c r="BU41" s="3">
        <f t="shared" si="17"/>
        <v>1958.4306304751442</v>
      </c>
      <c r="BV41" s="3">
        <f t="shared" si="18"/>
        <v>421.618400093947</v>
      </c>
      <c r="BW41" s="3">
        <f t="shared" si="19"/>
        <v>393.0299340280975</v>
      </c>
      <c r="BX41" s="3">
        <f t="shared" si="20"/>
        <v>587.8490131964719</v>
      </c>
      <c r="BY41" s="3">
        <f t="shared" si="21"/>
        <v>1262.7303254139224</v>
      </c>
      <c r="BZ41" s="3">
        <f t="shared" si="22"/>
        <v>1143.3901518000873</v>
      </c>
      <c r="CA41" s="15">
        <f t="shared" si="28"/>
        <v>0.55218312181449158</v>
      </c>
      <c r="CB41" s="15">
        <f t="shared" si="29"/>
        <v>0.90947442989492688</v>
      </c>
      <c r="CC41" s="15">
        <f t="shared" si="30"/>
        <v>1.8691165978138753</v>
      </c>
      <c r="CD41" s="11">
        <f t="shared" si="27"/>
        <v>0.96685627227888271</v>
      </c>
    </row>
    <row r="42" spans="1:82" x14ac:dyDescent="0.25">
      <c r="A42">
        <v>2510</v>
      </c>
      <c r="B42" t="s">
        <v>351</v>
      </c>
      <c r="C42">
        <v>1253.3463429999999</v>
      </c>
      <c r="D42">
        <v>-0.18307169600000001</v>
      </c>
      <c r="E42">
        <v>0.38244498399999999</v>
      </c>
      <c r="F42">
        <v>14.605563439999999</v>
      </c>
      <c r="G42">
        <v>2.1867169999999999E-3</v>
      </c>
      <c r="H42">
        <v>1.1343696E-2</v>
      </c>
      <c r="I42" s="5" t="s">
        <v>352</v>
      </c>
      <c r="J42" t="s">
        <v>418</v>
      </c>
      <c r="K42">
        <v>1273</v>
      </c>
      <c r="L42">
        <v>258564</v>
      </c>
      <c r="M42">
        <v>502.74</v>
      </c>
      <c r="N42">
        <v>257318</v>
      </c>
      <c r="O42">
        <v>0.71</v>
      </c>
      <c r="P42" t="s">
        <v>47</v>
      </c>
      <c r="Q42" t="s">
        <v>419</v>
      </c>
      <c r="R42">
        <v>35788</v>
      </c>
      <c r="S42">
        <v>2.5999999999999999E-2</v>
      </c>
      <c r="T42">
        <v>21</v>
      </c>
      <c r="U42" t="s">
        <v>49</v>
      </c>
      <c r="V42">
        <v>5000.2</v>
      </c>
      <c r="W42">
        <v>3549</v>
      </c>
      <c r="X42">
        <v>2554</v>
      </c>
      <c r="Y42">
        <v>6834</v>
      </c>
      <c r="Z42">
        <v>229057</v>
      </c>
      <c r="AA42">
        <v>12062</v>
      </c>
      <c r="AB42">
        <v>1323</v>
      </c>
      <c r="AC42">
        <v>3185</v>
      </c>
      <c r="AD42">
        <v>258564</v>
      </c>
      <c r="AE42">
        <v>847</v>
      </c>
      <c r="AF42">
        <v>3309</v>
      </c>
      <c r="AG42">
        <v>1876</v>
      </c>
      <c r="AH42">
        <v>364</v>
      </c>
      <c r="AI42">
        <v>308</v>
      </c>
      <c r="AJ42">
        <v>2298</v>
      </c>
      <c r="AK42">
        <v>2981</v>
      </c>
      <c r="AL42">
        <v>1862</v>
      </c>
      <c r="AM42">
        <v>4601</v>
      </c>
      <c r="AN42">
        <v>944</v>
      </c>
      <c r="AO42">
        <v>877</v>
      </c>
      <c r="AP42">
        <v>1578</v>
      </c>
      <c r="AQ42">
        <v>1488</v>
      </c>
      <c r="AR42">
        <v>3407</v>
      </c>
      <c r="AS42">
        <v>683</v>
      </c>
      <c r="AT42">
        <v>524</v>
      </c>
      <c r="AU42">
        <v>981</v>
      </c>
      <c r="AV42">
        <v>1207</v>
      </c>
      <c r="AW42">
        <v>543</v>
      </c>
      <c r="AX42">
        <v>1219</v>
      </c>
      <c r="AY42">
        <v>2048</v>
      </c>
      <c r="AZ42">
        <v>3162</v>
      </c>
      <c r="BA42">
        <v>559</v>
      </c>
      <c r="BB42">
        <v>78</v>
      </c>
      <c r="BC42" s="3">
        <f t="shared" si="26"/>
        <v>9544.3771279763496</v>
      </c>
      <c r="BD42" s="3">
        <f t="shared" si="0"/>
        <v>9520.463818353348</v>
      </c>
      <c r="BE42" s="3">
        <f t="shared" si="1"/>
        <v>5946.0701579226788</v>
      </c>
      <c r="BF42" s="3">
        <f t="shared" si="2"/>
        <v>2776.9428300709337</v>
      </c>
      <c r="BG42" s="3">
        <f t="shared" si="3"/>
        <v>4622.4903666850514</v>
      </c>
      <c r="BH42" s="3">
        <f t="shared" si="4"/>
        <v>16898.301345687185</v>
      </c>
      <c r="BI42" s="3">
        <f t="shared" si="5"/>
        <v>10760.683976652095</v>
      </c>
      <c r="BJ42" s="3">
        <f t="shared" si="6"/>
        <v>7000.6197917146428</v>
      </c>
      <c r="BK42" s="3">
        <f t="shared" si="7"/>
        <v>17866.542249363109</v>
      </c>
      <c r="BL42" s="3">
        <f t="shared" si="8"/>
        <v>3240.9563499141095</v>
      </c>
      <c r="BM42" s="3">
        <f t="shared" si="9"/>
        <v>3145.0809338344184</v>
      </c>
      <c r="BN42" s="3">
        <f t="shared" si="10"/>
        <v>4859.7995563662071</v>
      </c>
      <c r="BO42" s="3">
        <f t="shared" si="11"/>
        <v>7264.2274874853183</v>
      </c>
      <c r="BP42" s="3">
        <f t="shared" si="12"/>
        <v>6346.820684338908</v>
      </c>
      <c r="BQ42" s="3">
        <f t="shared" si="13"/>
        <v>3422.6804950308492</v>
      </c>
      <c r="BR42" s="3">
        <f t="shared" si="14"/>
        <v>2432.4259084925084</v>
      </c>
      <c r="BS42" s="3">
        <f t="shared" si="15"/>
        <v>5818.2482446653457</v>
      </c>
      <c r="BT42" s="3">
        <f t="shared" si="16"/>
        <v>6059.5198470611331</v>
      </c>
      <c r="BU42" s="3">
        <f t="shared" si="17"/>
        <v>2805.8781856147843</v>
      </c>
      <c r="BV42" s="3">
        <f t="shared" si="18"/>
        <v>2903.6883034718726</v>
      </c>
      <c r="BW42" s="3">
        <f t="shared" si="19"/>
        <v>9359.5965684830662</v>
      </c>
      <c r="BX42" s="3">
        <f t="shared" si="20"/>
        <v>9340.5958780263518</v>
      </c>
      <c r="BY42" s="3">
        <f t="shared" si="21"/>
        <v>4226.7440233915122</v>
      </c>
      <c r="BZ42" s="3">
        <f t="shared" si="22"/>
        <v>2346.9587326422843</v>
      </c>
      <c r="CA42" s="15">
        <f t="shared" si="28"/>
        <v>2.4406102186204128</v>
      </c>
      <c r="CB42" s="15">
        <f t="shared" si="29"/>
        <v>2.3031207788133834</v>
      </c>
      <c r="CC42" s="15">
        <f t="shared" si="30"/>
        <v>1.3578202040310789</v>
      </c>
      <c r="CD42">
        <f t="shared" si="27"/>
        <v>-0.9184257582506471</v>
      </c>
    </row>
    <row r="43" spans="1:82" x14ac:dyDescent="0.25">
      <c r="A43">
        <v>12836</v>
      </c>
      <c r="B43" t="s">
        <v>353</v>
      </c>
      <c r="C43">
        <v>2.3649612759999998</v>
      </c>
      <c r="D43">
        <v>-3.0753230720000002</v>
      </c>
      <c r="E43">
        <v>0.95021809000000002</v>
      </c>
      <c r="F43">
        <v>14.535716799999999</v>
      </c>
      <c r="G43">
        <v>2.2596349999999999E-3</v>
      </c>
      <c r="H43">
        <v>1.1615868999999999E-2</v>
      </c>
      <c r="I43" s="5" t="s">
        <v>354</v>
      </c>
      <c r="J43" t="s">
        <v>420</v>
      </c>
      <c r="K43">
        <v>227</v>
      </c>
      <c r="L43">
        <v>2609</v>
      </c>
      <c r="M43">
        <v>5.0730000000000004</v>
      </c>
      <c r="N43">
        <v>1614</v>
      </c>
      <c r="O43">
        <v>1.0999999999999999E-2</v>
      </c>
      <c r="P43" t="s">
        <v>88</v>
      </c>
      <c r="Q43" t="s">
        <v>421</v>
      </c>
      <c r="R43">
        <v>647</v>
      </c>
      <c r="S43">
        <v>6.9000000000000006E-2</v>
      </c>
      <c r="T43">
        <v>21</v>
      </c>
      <c r="U43" t="s">
        <v>221</v>
      </c>
      <c r="V43">
        <v>-1</v>
      </c>
      <c r="W43">
        <v>18</v>
      </c>
      <c r="X43">
        <v>25</v>
      </c>
      <c r="Y43">
        <v>99</v>
      </c>
      <c r="Z43">
        <v>1617</v>
      </c>
      <c r="AA43">
        <v>59</v>
      </c>
      <c r="AB43">
        <v>49</v>
      </c>
      <c r="AC43">
        <v>742</v>
      </c>
      <c r="AD43">
        <v>2609</v>
      </c>
      <c r="AE43">
        <v>0</v>
      </c>
      <c r="AF43">
        <v>1</v>
      </c>
      <c r="AG43">
        <v>2</v>
      </c>
      <c r="AH43">
        <v>0</v>
      </c>
      <c r="AI43">
        <v>0</v>
      </c>
      <c r="AJ43">
        <v>1</v>
      </c>
      <c r="AK43">
        <v>2</v>
      </c>
      <c r="AL43">
        <v>4</v>
      </c>
      <c r="AM43">
        <v>11</v>
      </c>
      <c r="AN43">
        <v>0</v>
      </c>
      <c r="AO43">
        <v>0</v>
      </c>
      <c r="AP43">
        <v>1</v>
      </c>
      <c r="AQ43">
        <v>5</v>
      </c>
      <c r="AR43">
        <v>2</v>
      </c>
      <c r="AS43">
        <v>2</v>
      </c>
      <c r="AT43">
        <v>1</v>
      </c>
      <c r="AU43">
        <v>10</v>
      </c>
      <c r="AV43">
        <v>2</v>
      </c>
      <c r="AW43">
        <v>2</v>
      </c>
      <c r="AX43">
        <v>4</v>
      </c>
      <c r="AY43">
        <v>11</v>
      </c>
      <c r="AZ43">
        <v>1</v>
      </c>
      <c r="BA43">
        <v>2</v>
      </c>
      <c r="BB43">
        <v>0</v>
      </c>
      <c r="BC43" s="3">
        <f t="shared" si="26"/>
        <v>0</v>
      </c>
      <c r="BD43" s="3">
        <f t="shared" si="0"/>
        <v>2.8771422841805223</v>
      </c>
      <c r="BE43" s="3">
        <f t="shared" si="1"/>
        <v>6.3390939849921946</v>
      </c>
      <c r="BF43" s="3">
        <f t="shared" si="2"/>
        <v>0</v>
      </c>
      <c r="BG43" s="3">
        <f t="shared" si="3"/>
        <v>0</v>
      </c>
      <c r="BH43" s="3">
        <f t="shared" si="4"/>
        <v>7.3534818736671808</v>
      </c>
      <c r="BI43" s="3">
        <f t="shared" si="5"/>
        <v>7.2195128994646733</v>
      </c>
      <c r="BJ43" s="3">
        <f t="shared" si="6"/>
        <v>15.038925438699554</v>
      </c>
      <c r="BK43" s="3">
        <f t="shared" si="7"/>
        <v>42.715054280155229</v>
      </c>
      <c r="BL43" s="3">
        <f t="shared" si="8"/>
        <v>0</v>
      </c>
      <c r="BM43" s="3">
        <f t="shared" si="9"/>
        <v>0</v>
      </c>
      <c r="BN43" s="3">
        <f t="shared" si="10"/>
        <v>3.0797208848962017</v>
      </c>
      <c r="BO43" s="3">
        <f t="shared" si="11"/>
        <v>24.409366557410344</v>
      </c>
      <c r="BP43" s="3">
        <f t="shared" si="12"/>
        <v>3.7257532634804273</v>
      </c>
      <c r="BQ43" s="3">
        <f t="shared" si="13"/>
        <v>10.022490468611565</v>
      </c>
      <c r="BR43" s="3">
        <f t="shared" si="14"/>
        <v>4.6420341765124213</v>
      </c>
      <c r="BS43" s="3">
        <f t="shared" si="15"/>
        <v>59.309360292205355</v>
      </c>
      <c r="BT43" s="3">
        <f t="shared" si="16"/>
        <v>10.040629406895002</v>
      </c>
      <c r="BU43" s="3">
        <f t="shared" si="17"/>
        <v>10.334726282190735</v>
      </c>
      <c r="BV43" s="3">
        <f t="shared" si="18"/>
        <v>9.5280994371513472</v>
      </c>
      <c r="BW43" s="3">
        <f t="shared" si="19"/>
        <v>50.271270631500848</v>
      </c>
      <c r="BX43" s="3">
        <f t="shared" si="20"/>
        <v>2.9540151416908134</v>
      </c>
      <c r="BY43" s="3">
        <f t="shared" si="21"/>
        <v>15.122518867232602</v>
      </c>
      <c r="BZ43" s="3">
        <f t="shared" si="22"/>
        <v>0</v>
      </c>
      <c r="CA43" s="15">
        <f t="shared" si="28"/>
        <v>5.4726456714879959</v>
      </c>
      <c r="CB43" s="15">
        <f t="shared" si="29"/>
        <v>0.83468691050831301</v>
      </c>
      <c r="CC43" s="15">
        <f t="shared" si="30"/>
        <v>1.5187425042933922</v>
      </c>
      <c r="CD43" s="12">
        <f t="shared" si="27"/>
        <v>-0.78960296313657397</v>
      </c>
    </row>
    <row r="44" spans="1:82" x14ac:dyDescent="0.25">
      <c r="A44">
        <v>37570</v>
      </c>
      <c r="B44" t="s">
        <v>264</v>
      </c>
      <c r="C44">
        <v>2.8020942020000001</v>
      </c>
      <c r="D44">
        <v>-0.64371219099999999</v>
      </c>
      <c r="E44">
        <v>1.0186300429999999</v>
      </c>
      <c r="F44">
        <v>14.5050241</v>
      </c>
      <c r="G44">
        <v>2.2924360000000001E-3</v>
      </c>
      <c r="H44">
        <v>1.1738442E-2</v>
      </c>
      <c r="I44" s="5" t="s">
        <v>265</v>
      </c>
      <c r="J44" t="s">
        <v>266</v>
      </c>
      <c r="K44">
        <v>156</v>
      </c>
      <c r="L44">
        <v>520</v>
      </c>
      <c r="M44">
        <v>1.0109999999999999</v>
      </c>
      <c r="N44">
        <v>11</v>
      </c>
      <c r="O44">
        <v>0.96</v>
      </c>
      <c r="P44" t="s">
        <v>36</v>
      </c>
      <c r="Q44" t="s">
        <v>267</v>
      </c>
      <c r="R44">
        <v>185</v>
      </c>
      <c r="S44">
        <v>0.106</v>
      </c>
      <c r="T44">
        <v>21</v>
      </c>
      <c r="U44" t="s">
        <v>43</v>
      </c>
      <c r="V44">
        <v>-1</v>
      </c>
      <c r="W44">
        <v>1</v>
      </c>
      <c r="X44">
        <v>1</v>
      </c>
      <c r="Y44">
        <v>35</v>
      </c>
      <c r="Z44">
        <v>426</v>
      </c>
      <c r="AA44">
        <v>36</v>
      </c>
      <c r="AB44">
        <v>19</v>
      </c>
      <c r="AC44">
        <v>2</v>
      </c>
      <c r="AD44">
        <v>520</v>
      </c>
      <c r="AE44">
        <v>10</v>
      </c>
      <c r="AF44">
        <v>14</v>
      </c>
      <c r="AG44">
        <v>0</v>
      </c>
      <c r="AH44">
        <v>0</v>
      </c>
      <c r="AI44">
        <v>2</v>
      </c>
      <c r="AJ44">
        <v>8</v>
      </c>
      <c r="AK44">
        <v>2</v>
      </c>
      <c r="AL44">
        <v>0</v>
      </c>
      <c r="AM44">
        <v>4</v>
      </c>
      <c r="AN44">
        <v>0</v>
      </c>
      <c r="AO44">
        <v>0</v>
      </c>
      <c r="AP44">
        <v>2</v>
      </c>
      <c r="AQ44">
        <v>4</v>
      </c>
      <c r="AR44">
        <v>4</v>
      </c>
      <c r="AS44">
        <v>0</v>
      </c>
      <c r="AT44">
        <v>0</v>
      </c>
      <c r="AU44">
        <v>3</v>
      </c>
      <c r="AV44">
        <v>1</v>
      </c>
      <c r="AW44">
        <v>0</v>
      </c>
      <c r="AX44">
        <v>2</v>
      </c>
      <c r="AY44">
        <v>0</v>
      </c>
      <c r="AZ44">
        <v>8</v>
      </c>
      <c r="BA44">
        <v>1</v>
      </c>
      <c r="BB44">
        <v>0</v>
      </c>
      <c r="BC44" s="3">
        <f t="shared" si="26"/>
        <v>112.68449973998052</v>
      </c>
      <c r="BD44" s="3">
        <f t="shared" si="0"/>
        <v>40.279991978527313</v>
      </c>
      <c r="BE44" s="3">
        <f t="shared" si="1"/>
        <v>0</v>
      </c>
      <c r="BF44" s="3">
        <f t="shared" si="2"/>
        <v>0</v>
      </c>
      <c r="BG44" s="3">
        <f t="shared" si="3"/>
        <v>30.016171212240597</v>
      </c>
      <c r="BH44" s="3">
        <f t="shared" si="4"/>
        <v>58.827854989337446</v>
      </c>
      <c r="BI44" s="3">
        <f t="shared" si="5"/>
        <v>7.2195128994646733</v>
      </c>
      <c r="BJ44" s="3">
        <f t="shared" si="6"/>
        <v>0</v>
      </c>
      <c r="BK44" s="3">
        <f t="shared" si="7"/>
        <v>15.532747010965538</v>
      </c>
      <c r="BL44" s="3">
        <f t="shared" si="8"/>
        <v>0</v>
      </c>
      <c r="BM44" s="3">
        <f t="shared" si="9"/>
        <v>0</v>
      </c>
      <c r="BN44" s="3">
        <f t="shared" si="10"/>
        <v>6.1594417697924033</v>
      </c>
      <c r="BO44" s="3">
        <f t="shared" si="11"/>
        <v>19.527493245928277</v>
      </c>
      <c r="BP44" s="3">
        <f t="shared" si="12"/>
        <v>7.4515065269608547</v>
      </c>
      <c r="BQ44" s="3">
        <f t="shared" si="13"/>
        <v>0</v>
      </c>
      <c r="BR44" s="3">
        <f t="shared" si="14"/>
        <v>0</v>
      </c>
      <c r="BS44" s="3">
        <f t="shared" si="15"/>
        <v>17.792808087661605</v>
      </c>
      <c r="BT44" s="3">
        <f t="shared" si="16"/>
        <v>5.0203147034475011</v>
      </c>
      <c r="BU44" s="3">
        <f t="shared" si="17"/>
        <v>0</v>
      </c>
      <c r="BV44" s="3">
        <f t="shared" si="18"/>
        <v>4.7640497185756736</v>
      </c>
      <c r="BW44" s="3">
        <f t="shared" si="19"/>
        <v>0</v>
      </c>
      <c r="BX44" s="3">
        <f t="shared" si="20"/>
        <v>23.632121133526507</v>
      </c>
      <c r="BY44" s="3">
        <f t="shared" si="21"/>
        <v>7.5612594336163008</v>
      </c>
      <c r="BZ44" s="3">
        <f t="shared" si="22"/>
        <v>0</v>
      </c>
      <c r="CA44" s="15">
        <f t="shared" si="28"/>
        <v>17.902125845478313</v>
      </c>
      <c r="CB44" s="15">
        <f t="shared" si="29"/>
        <v>12.378074306715982</v>
      </c>
      <c r="CC44" s="15">
        <f t="shared" si="30"/>
        <v>1.3531179429965536</v>
      </c>
      <c r="CD44">
        <f t="shared" si="27"/>
        <v>-0.98207848874872616</v>
      </c>
    </row>
    <row r="45" spans="1:82" x14ac:dyDescent="0.25">
      <c r="A45">
        <v>24600</v>
      </c>
      <c r="B45" t="s">
        <v>56</v>
      </c>
      <c r="C45">
        <v>8878.4677599999995</v>
      </c>
      <c r="D45">
        <v>-0.50013664499999999</v>
      </c>
      <c r="E45">
        <v>0.340154872</v>
      </c>
      <c r="F45">
        <v>14.043538099999999</v>
      </c>
      <c r="G45">
        <v>2.8464850000000002E-3</v>
      </c>
      <c r="H45">
        <v>1.3716015999999999E-2</v>
      </c>
      <c r="I45" s="5" t="s">
        <v>57</v>
      </c>
      <c r="J45" t="s">
        <v>58</v>
      </c>
      <c r="K45">
        <v>1166</v>
      </c>
      <c r="L45">
        <v>554104</v>
      </c>
      <c r="M45">
        <v>1077.375</v>
      </c>
      <c r="N45">
        <v>553644</v>
      </c>
      <c r="O45">
        <v>0.94699999999999995</v>
      </c>
      <c r="P45" t="s">
        <v>36</v>
      </c>
      <c r="Q45" t="s">
        <v>59</v>
      </c>
      <c r="R45">
        <v>269435</v>
      </c>
      <c r="S45">
        <v>2E-3</v>
      </c>
      <c r="T45">
        <v>22</v>
      </c>
      <c r="U45" t="s">
        <v>49</v>
      </c>
      <c r="V45">
        <v>-1</v>
      </c>
      <c r="W45">
        <v>3587</v>
      </c>
      <c r="X45">
        <v>784</v>
      </c>
      <c r="Y45">
        <v>15540</v>
      </c>
      <c r="Z45">
        <v>242526</v>
      </c>
      <c r="AA45">
        <v>287002</v>
      </c>
      <c r="AB45">
        <v>1079</v>
      </c>
      <c r="AC45">
        <v>3586</v>
      </c>
      <c r="AD45">
        <v>554104</v>
      </c>
      <c r="AE45">
        <v>7715</v>
      </c>
      <c r="AF45">
        <v>20113</v>
      </c>
      <c r="AG45">
        <v>10093</v>
      </c>
      <c r="AH45">
        <v>1856</v>
      </c>
      <c r="AI45">
        <v>1970</v>
      </c>
      <c r="AJ45">
        <v>7594</v>
      </c>
      <c r="AK45">
        <v>10524</v>
      </c>
      <c r="AL45">
        <v>11057</v>
      </c>
      <c r="AM45">
        <v>29298</v>
      </c>
      <c r="AN45">
        <v>6932</v>
      </c>
      <c r="AO45">
        <v>4841</v>
      </c>
      <c r="AP45">
        <v>15650</v>
      </c>
      <c r="AQ45">
        <v>9165</v>
      </c>
      <c r="AR45">
        <v>33005</v>
      </c>
      <c r="AS45">
        <v>9838</v>
      </c>
      <c r="AT45">
        <v>6479</v>
      </c>
      <c r="AU45">
        <v>9036</v>
      </c>
      <c r="AV45">
        <v>7808</v>
      </c>
      <c r="AW45">
        <v>7702</v>
      </c>
      <c r="AX45">
        <v>11691</v>
      </c>
      <c r="AY45">
        <v>17001</v>
      </c>
      <c r="AZ45">
        <v>22272</v>
      </c>
      <c r="BA45">
        <v>4073</v>
      </c>
      <c r="BB45">
        <v>791</v>
      </c>
      <c r="BC45" s="3">
        <f t="shared" si="26"/>
        <v>86936.091549394972</v>
      </c>
      <c r="BD45" s="3">
        <f t="shared" si="0"/>
        <v>57867.96276172284</v>
      </c>
      <c r="BE45" s="3">
        <f t="shared" si="1"/>
        <v>31990.23779526311</v>
      </c>
      <c r="BF45" s="3">
        <f t="shared" si="2"/>
        <v>14159.356847834213</v>
      </c>
      <c r="BG45" s="3">
        <f t="shared" si="3"/>
        <v>29565.928644056985</v>
      </c>
      <c r="BH45" s="3">
        <f t="shared" si="4"/>
        <v>55842.341348628572</v>
      </c>
      <c r="BI45" s="3">
        <f t="shared" si="5"/>
        <v>37989.076876983112</v>
      </c>
      <c r="BJ45" s="3">
        <f t="shared" si="6"/>
        <v>41571.349643925241</v>
      </c>
      <c r="BK45" s="3">
        <f t="shared" si="7"/>
        <v>113769.60548181707</v>
      </c>
      <c r="BL45" s="3">
        <f t="shared" si="8"/>
        <v>23799.05658644556</v>
      </c>
      <c r="BM45" s="3">
        <f t="shared" si="9"/>
        <v>17360.703307517011</v>
      </c>
      <c r="BN45" s="3">
        <f t="shared" si="10"/>
        <v>48197.631848625562</v>
      </c>
      <c r="BO45" s="3">
        <f t="shared" si="11"/>
        <v>44742.368899733156</v>
      </c>
      <c r="BP45" s="3">
        <f t="shared" si="12"/>
        <v>61484.243230585751</v>
      </c>
      <c r="BQ45" s="3">
        <f t="shared" si="13"/>
        <v>49300.630615100279</v>
      </c>
      <c r="BR45" s="3">
        <f t="shared" si="14"/>
        <v>30075.739429623976</v>
      </c>
      <c r="BS45" s="3">
        <f t="shared" si="15"/>
        <v>53591.937960036761</v>
      </c>
      <c r="BT45" s="3">
        <f t="shared" si="16"/>
        <v>39198.617204518087</v>
      </c>
      <c r="BU45" s="3">
        <f t="shared" si="17"/>
        <v>39799.030912716516</v>
      </c>
      <c r="BV45" s="3">
        <f t="shared" si="18"/>
        <v>27848.252629934093</v>
      </c>
      <c r="BW45" s="3">
        <f t="shared" si="19"/>
        <v>77696.533818740543</v>
      </c>
      <c r="BX45" s="3">
        <f t="shared" si="20"/>
        <v>65791.825235737793</v>
      </c>
      <c r="BY45" s="3">
        <f t="shared" si="21"/>
        <v>30797.009673119192</v>
      </c>
      <c r="BZ45" s="3">
        <f t="shared" si="22"/>
        <v>23800.568686154449</v>
      </c>
      <c r="CA45" s="15">
        <f t="shared" si="28"/>
        <v>2.1885059072810629</v>
      </c>
      <c r="CB45" s="15">
        <f t="shared" si="29"/>
        <v>1.6373783973427984</v>
      </c>
      <c r="CC45" s="15">
        <f t="shared" si="30"/>
        <v>1.1162588367908661</v>
      </c>
      <c r="CD45">
        <f t="shared" si="27"/>
        <v>-0.99986948914841589</v>
      </c>
    </row>
    <row r="46" spans="1:82" x14ac:dyDescent="0.25">
      <c r="A46">
        <v>1937</v>
      </c>
      <c r="B46" t="s">
        <v>355</v>
      </c>
      <c r="C46">
        <v>2.8768915779999999</v>
      </c>
      <c r="D46">
        <v>-1.3407067610000001</v>
      </c>
      <c r="E46">
        <v>0.86261213599999997</v>
      </c>
      <c r="F46">
        <v>13.740055720000001</v>
      </c>
      <c r="G46">
        <v>3.281207E-3</v>
      </c>
      <c r="H46">
        <v>1.5264669E-2</v>
      </c>
      <c r="I46" s="5" t="s">
        <v>483</v>
      </c>
      <c r="J46" t="s">
        <v>422</v>
      </c>
      <c r="K46">
        <v>516</v>
      </c>
      <c r="L46">
        <v>5227</v>
      </c>
      <c r="M46">
        <v>10.163</v>
      </c>
      <c r="N46">
        <v>5227</v>
      </c>
      <c r="O46">
        <v>3.7999999999999999E-2</v>
      </c>
      <c r="P46" t="s">
        <v>88</v>
      </c>
      <c r="Q46" t="s">
        <v>423</v>
      </c>
      <c r="R46">
        <v>2282</v>
      </c>
      <c r="S46">
        <v>4.9000000000000002E-2</v>
      </c>
      <c r="T46">
        <v>24</v>
      </c>
      <c r="U46" t="s">
        <v>43</v>
      </c>
      <c r="V46">
        <v>-1</v>
      </c>
      <c r="W46">
        <v>7</v>
      </c>
      <c r="X46">
        <v>119</v>
      </c>
      <c r="Y46">
        <v>17</v>
      </c>
      <c r="Z46">
        <v>64</v>
      </c>
      <c r="AA46">
        <v>58</v>
      </c>
      <c r="AB46">
        <v>575</v>
      </c>
      <c r="AC46">
        <v>4387</v>
      </c>
      <c r="AD46">
        <v>5227</v>
      </c>
      <c r="AE46">
        <v>2</v>
      </c>
      <c r="AF46">
        <v>11</v>
      </c>
      <c r="AG46">
        <v>3</v>
      </c>
      <c r="AH46">
        <v>0</v>
      </c>
      <c r="AI46">
        <v>2</v>
      </c>
      <c r="AJ46">
        <v>2</v>
      </c>
      <c r="AK46">
        <v>3</v>
      </c>
      <c r="AL46">
        <v>2</v>
      </c>
      <c r="AM46">
        <v>13</v>
      </c>
      <c r="AN46">
        <v>1</v>
      </c>
      <c r="AO46">
        <v>0</v>
      </c>
      <c r="AP46">
        <v>1</v>
      </c>
      <c r="AQ46">
        <v>15</v>
      </c>
      <c r="AR46">
        <v>8</v>
      </c>
      <c r="AS46">
        <v>0</v>
      </c>
      <c r="AT46">
        <v>0</v>
      </c>
      <c r="AU46">
        <v>2</v>
      </c>
      <c r="AV46">
        <v>4</v>
      </c>
      <c r="AW46">
        <v>3</v>
      </c>
      <c r="AX46">
        <v>0</v>
      </c>
      <c r="AY46">
        <v>3</v>
      </c>
      <c r="AZ46">
        <v>0</v>
      </c>
      <c r="BA46">
        <v>4</v>
      </c>
      <c r="BB46">
        <v>0</v>
      </c>
      <c r="BC46" s="3">
        <f t="shared" si="26"/>
        <v>22.536899947996101</v>
      </c>
      <c r="BD46" s="3">
        <f t="shared" si="0"/>
        <v>31.648565125985748</v>
      </c>
      <c r="BE46" s="3">
        <f t="shared" si="1"/>
        <v>9.5086409774882927</v>
      </c>
      <c r="BF46" s="3">
        <f t="shared" si="2"/>
        <v>0</v>
      </c>
      <c r="BG46" s="3">
        <f t="shared" si="3"/>
        <v>30.016171212240597</v>
      </c>
      <c r="BH46" s="3">
        <f t="shared" si="4"/>
        <v>14.706963747334362</v>
      </c>
      <c r="BI46" s="3">
        <f t="shared" si="5"/>
        <v>10.829269349197009</v>
      </c>
      <c r="BJ46" s="3">
        <f t="shared" si="6"/>
        <v>7.5194627193497769</v>
      </c>
      <c r="BK46" s="3">
        <f t="shared" si="7"/>
        <v>50.481427785637997</v>
      </c>
      <c r="BL46" s="3">
        <f t="shared" si="8"/>
        <v>3.4332164723666416</v>
      </c>
      <c r="BM46" s="3">
        <f t="shared" si="9"/>
        <v>0</v>
      </c>
      <c r="BN46" s="3">
        <f t="shared" si="10"/>
        <v>3.0797208848962017</v>
      </c>
      <c r="BO46" s="3">
        <f t="shared" si="11"/>
        <v>73.228099672231025</v>
      </c>
      <c r="BP46" s="3">
        <f t="shared" si="12"/>
        <v>14.903013053921709</v>
      </c>
      <c r="BQ46" s="3">
        <f t="shared" si="13"/>
        <v>0</v>
      </c>
      <c r="BR46" s="3">
        <f t="shared" si="14"/>
        <v>0</v>
      </c>
      <c r="BS46" s="3">
        <f t="shared" si="15"/>
        <v>11.861872058441071</v>
      </c>
      <c r="BT46" s="3">
        <f t="shared" si="16"/>
        <v>20.081258813790004</v>
      </c>
      <c r="BU46" s="3">
        <f t="shared" si="17"/>
        <v>15.502089423286103</v>
      </c>
      <c r="BV46" s="3">
        <f t="shared" si="18"/>
        <v>0</v>
      </c>
      <c r="BW46" s="3">
        <f t="shared" si="19"/>
        <v>13.710346535863867</v>
      </c>
      <c r="BX46" s="3">
        <f t="shared" si="20"/>
        <v>0</v>
      </c>
      <c r="BY46" s="3">
        <f t="shared" si="21"/>
        <v>30.245037734465203</v>
      </c>
      <c r="BZ46" s="3">
        <f t="shared" si="22"/>
        <v>0</v>
      </c>
      <c r="CA46" s="15">
        <f t="shared" si="28"/>
        <v>19.042487114909175</v>
      </c>
      <c r="CB46" s="15">
        <f t="shared" si="29"/>
        <v>7.9980704532223417</v>
      </c>
      <c r="CC46" s="15">
        <f t="shared" si="30"/>
        <v>6.2349177023373077</v>
      </c>
      <c r="CD46">
        <f t="shared" si="27"/>
        <v>-0.92251198577758053</v>
      </c>
    </row>
    <row r="47" spans="1:82" x14ac:dyDescent="0.25">
      <c r="A47">
        <v>24631</v>
      </c>
      <c r="B47" t="s">
        <v>356</v>
      </c>
      <c r="C47">
        <v>12442.300279999999</v>
      </c>
      <c r="D47">
        <v>0.59826620399999997</v>
      </c>
      <c r="E47">
        <v>0.468623024</v>
      </c>
      <c r="F47">
        <v>13.646438910000001</v>
      </c>
      <c r="G47">
        <v>3.4281340000000002E-3</v>
      </c>
      <c r="H47">
        <v>1.5739761000000001E-2</v>
      </c>
      <c r="I47" s="5" t="s">
        <v>490</v>
      </c>
      <c r="J47" t="s">
        <v>424</v>
      </c>
      <c r="K47">
        <v>1167</v>
      </c>
      <c r="L47">
        <v>8998072</v>
      </c>
      <c r="M47">
        <v>17495.444</v>
      </c>
      <c r="N47">
        <v>8998057</v>
      </c>
      <c r="O47">
        <v>0.61799999999999999</v>
      </c>
      <c r="P47" t="s">
        <v>47</v>
      </c>
      <c r="Q47" t="s">
        <v>425</v>
      </c>
      <c r="R47">
        <v>5293448</v>
      </c>
      <c r="S47">
        <v>0</v>
      </c>
      <c r="T47">
        <v>23</v>
      </c>
      <c r="U47" t="s">
        <v>49</v>
      </c>
      <c r="V47">
        <v>-1</v>
      </c>
      <c r="W47">
        <v>19031</v>
      </c>
      <c r="X47">
        <v>3480</v>
      </c>
      <c r="Y47">
        <v>6455</v>
      </c>
      <c r="Z47">
        <v>20176</v>
      </c>
      <c r="AA47">
        <v>111158</v>
      </c>
      <c r="AB47">
        <v>8811855</v>
      </c>
      <c r="AC47">
        <v>25917</v>
      </c>
      <c r="AD47">
        <v>8998072</v>
      </c>
      <c r="AE47">
        <v>8118</v>
      </c>
      <c r="AF47">
        <v>24306</v>
      </c>
      <c r="AG47">
        <v>22469</v>
      </c>
      <c r="AH47">
        <v>2784</v>
      </c>
      <c r="AI47">
        <v>2236</v>
      </c>
      <c r="AJ47">
        <v>25899</v>
      </c>
      <c r="AK47">
        <v>22987</v>
      </c>
      <c r="AL47">
        <v>18227</v>
      </c>
      <c r="AM47">
        <v>32577</v>
      </c>
      <c r="AN47">
        <v>18978</v>
      </c>
      <c r="AO47">
        <v>13372</v>
      </c>
      <c r="AP47">
        <v>18803</v>
      </c>
      <c r="AQ47">
        <v>5445</v>
      </c>
      <c r="AR47">
        <v>86969</v>
      </c>
      <c r="AS47">
        <v>8807</v>
      </c>
      <c r="AT47">
        <v>7379</v>
      </c>
      <c r="AU47">
        <v>6605</v>
      </c>
      <c r="AV47">
        <v>12098</v>
      </c>
      <c r="AW47">
        <v>5730</v>
      </c>
      <c r="AX47">
        <v>2485</v>
      </c>
      <c r="AY47">
        <v>20054</v>
      </c>
      <c r="AZ47">
        <v>39035</v>
      </c>
      <c r="BA47">
        <v>4853</v>
      </c>
      <c r="BB47">
        <v>309</v>
      </c>
      <c r="BC47" s="3">
        <f t="shared" si="26"/>
        <v>91477.276888916182</v>
      </c>
      <c r="BD47" s="3">
        <f t="shared" si="0"/>
        <v>69931.820359291771</v>
      </c>
      <c r="BE47" s="3">
        <f t="shared" si="1"/>
        <v>71216.551374394825</v>
      </c>
      <c r="BF47" s="3">
        <f t="shared" si="2"/>
        <v>21239.03527175132</v>
      </c>
      <c r="BG47" s="3">
        <f t="shared" si="3"/>
        <v>33558.079415284985</v>
      </c>
      <c r="BH47" s="3">
        <f t="shared" si="4"/>
        <v>190447.82704610634</v>
      </c>
      <c r="BI47" s="3">
        <f t="shared" si="5"/>
        <v>82977.471509997224</v>
      </c>
      <c r="BJ47" s="3">
        <f t="shared" si="6"/>
        <v>68528.623492794184</v>
      </c>
      <c r="BK47" s="3">
        <f t="shared" si="7"/>
        <v>126502.57484405607</v>
      </c>
      <c r="BL47" s="3">
        <f t="shared" si="8"/>
        <v>65155.582212574118</v>
      </c>
      <c r="BM47" s="3">
        <f t="shared" si="9"/>
        <v>47954.415333219891</v>
      </c>
      <c r="BN47" s="3">
        <f t="shared" si="10"/>
        <v>57907.991798703282</v>
      </c>
      <c r="BO47" s="3">
        <f t="shared" si="11"/>
        <v>26581.800181019862</v>
      </c>
      <c r="BP47" s="3">
        <f t="shared" si="12"/>
        <v>162012.51778581462</v>
      </c>
      <c r="BQ47" s="3">
        <f t="shared" si="13"/>
        <v>44134.036778531023</v>
      </c>
      <c r="BR47" s="3">
        <f t="shared" si="14"/>
        <v>34253.570188485159</v>
      </c>
      <c r="BS47" s="3">
        <f t="shared" si="15"/>
        <v>39173.832473001639</v>
      </c>
      <c r="BT47" s="3">
        <f t="shared" si="16"/>
        <v>60735.767282307861</v>
      </c>
      <c r="BU47" s="3">
        <f t="shared" si="17"/>
        <v>29608.990798476454</v>
      </c>
      <c r="BV47" s="3">
        <f t="shared" si="18"/>
        <v>5919.3317753302736</v>
      </c>
      <c r="BW47" s="3">
        <f t="shared" si="19"/>
        <v>91649.096476738006</v>
      </c>
      <c r="BX47" s="3">
        <f t="shared" si="20"/>
        <v>115309.98105590089</v>
      </c>
      <c r="BY47" s="3">
        <f t="shared" si="21"/>
        <v>36694.792031339908</v>
      </c>
      <c r="BZ47" s="3">
        <f t="shared" si="22"/>
        <v>9297.5672870059734</v>
      </c>
      <c r="CA47" s="15">
        <f t="shared" si="28"/>
        <v>2.0743124980836205</v>
      </c>
      <c r="CB47" s="15">
        <f t="shared" si="29"/>
        <v>3.3659982573729326</v>
      </c>
      <c r="CC47" s="15">
        <f t="shared" si="30"/>
        <v>1.5855562266239958</v>
      </c>
      <c r="CD47" s="12">
        <f t="shared" si="27"/>
        <v>-0.26565695564772912</v>
      </c>
    </row>
    <row r="48" spans="1:82" x14ac:dyDescent="0.25">
      <c r="A48">
        <v>38417</v>
      </c>
      <c r="B48" t="s">
        <v>290</v>
      </c>
      <c r="C48">
        <v>23.061620649999998</v>
      </c>
      <c r="D48">
        <v>1.089855207</v>
      </c>
      <c r="E48">
        <v>0.56177562299999995</v>
      </c>
      <c r="F48">
        <v>13.52802981</v>
      </c>
      <c r="G48">
        <v>3.6233350000000001E-3</v>
      </c>
      <c r="H48">
        <v>1.6395219999999999E-2</v>
      </c>
      <c r="I48" s="5" t="s">
        <v>291</v>
      </c>
      <c r="J48" t="s">
        <v>292</v>
      </c>
      <c r="K48">
        <v>81</v>
      </c>
      <c r="L48">
        <v>1527</v>
      </c>
      <c r="M48">
        <v>2.9689999999999999</v>
      </c>
      <c r="N48">
        <v>19</v>
      </c>
      <c r="O48">
        <v>0.83199999999999996</v>
      </c>
      <c r="P48" t="s">
        <v>36</v>
      </c>
      <c r="Q48" t="s">
        <v>192</v>
      </c>
      <c r="R48">
        <v>857</v>
      </c>
      <c r="S48">
        <v>4.7E-2</v>
      </c>
      <c r="T48">
        <v>21</v>
      </c>
      <c r="U48" t="s">
        <v>43</v>
      </c>
      <c r="V48">
        <v>-1</v>
      </c>
      <c r="W48">
        <v>24</v>
      </c>
      <c r="X48">
        <v>0</v>
      </c>
      <c r="Y48">
        <v>66</v>
      </c>
      <c r="Z48">
        <v>1193</v>
      </c>
      <c r="AA48">
        <v>241</v>
      </c>
      <c r="AB48">
        <v>1</v>
      </c>
      <c r="AC48">
        <v>2</v>
      </c>
      <c r="AD48">
        <v>1527</v>
      </c>
      <c r="AE48">
        <v>9</v>
      </c>
      <c r="AF48">
        <v>17</v>
      </c>
      <c r="AG48">
        <v>145</v>
      </c>
      <c r="AH48">
        <v>16</v>
      </c>
      <c r="AI48">
        <v>1</v>
      </c>
      <c r="AJ48">
        <v>7</v>
      </c>
      <c r="AK48">
        <v>28</v>
      </c>
      <c r="AL48">
        <v>27</v>
      </c>
      <c r="AM48">
        <v>10</v>
      </c>
      <c r="AN48">
        <v>35</v>
      </c>
      <c r="AO48">
        <v>71</v>
      </c>
      <c r="AP48">
        <v>69</v>
      </c>
      <c r="AQ48">
        <v>27</v>
      </c>
      <c r="AR48">
        <v>136</v>
      </c>
      <c r="AS48">
        <v>19</v>
      </c>
      <c r="AT48">
        <v>22</v>
      </c>
      <c r="AU48">
        <v>1</v>
      </c>
      <c r="AV48">
        <v>19</v>
      </c>
      <c r="AW48">
        <v>52</v>
      </c>
      <c r="AX48">
        <v>25</v>
      </c>
      <c r="AY48">
        <v>3</v>
      </c>
      <c r="AZ48">
        <v>22</v>
      </c>
      <c r="BA48">
        <v>22</v>
      </c>
      <c r="BB48">
        <v>3</v>
      </c>
      <c r="BC48" s="3">
        <f t="shared" si="26"/>
        <v>101.41604976598246</v>
      </c>
      <c r="BD48" s="3">
        <f t="shared" si="0"/>
        <v>48.911418831068879</v>
      </c>
      <c r="BE48" s="3">
        <f t="shared" si="1"/>
        <v>459.58431391193415</v>
      </c>
      <c r="BF48" s="3">
        <f t="shared" si="2"/>
        <v>122.06342110201909</v>
      </c>
      <c r="BG48" s="3">
        <f t="shared" si="3"/>
        <v>15.008085606120298</v>
      </c>
      <c r="BH48" s="3">
        <f t="shared" si="4"/>
        <v>51.474373115670268</v>
      </c>
      <c r="BI48" s="3">
        <f t="shared" si="5"/>
        <v>101.07318059250542</v>
      </c>
      <c r="BJ48" s="3">
        <f t="shared" si="6"/>
        <v>101.51274671122199</v>
      </c>
      <c r="BK48" s="3">
        <f t="shared" si="7"/>
        <v>38.831867527413841</v>
      </c>
      <c r="BL48" s="3">
        <f t="shared" si="8"/>
        <v>120.16257653283246</v>
      </c>
      <c r="BM48" s="3">
        <f t="shared" si="9"/>
        <v>254.61886693528359</v>
      </c>
      <c r="BN48" s="3">
        <f t="shared" si="10"/>
        <v>212.50074105783793</v>
      </c>
      <c r="BO48" s="3">
        <f t="shared" si="11"/>
        <v>131.81057941001586</v>
      </c>
      <c r="BP48" s="3">
        <f t="shared" si="12"/>
        <v>253.35122191666903</v>
      </c>
      <c r="BQ48" s="3">
        <f t="shared" si="13"/>
        <v>95.213659451809875</v>
      </c>
      <c r="BR48" s="3">
        <f t="shared" si="14"/>
        <v>102.12475188327326</v>
      </c>
      <c r="BS48" s="3">
        <f t="shared" si="15"/>
        <v>5.9309360292205353</v>
      </c>
      <c r="BT48" s="3">
        <f t="shared" si="16"/>
        <v>95.385979365502507</v>
      </c>
      <c r="BU48" s="3">
        <f t="shared" si="17"/>
        <v>268.70288333695908</v>
      </c>
      <c r="BV48" s="3">
        <f t="shared" si="18"/>
        <v>59.550621482195908</v>
      </c>
      <c r="BW48" s="3">
        <f t="shared" si="19"/>
        <v>13.710346535863867</v>
      </c>
      <c r="BX48" s="3">
        <f t="shared" si="20"/>
        <v>64.988333117197882</v>
      </c>
      <c r="BY48" s="3">
        <f t="shared" si="21"/>
        <v>166.3477075395586</v>
      </c>
      <c r="BZ48" s="3">
        <f t="shared" si="22"/>
        <v>90.267643563164796</v>
      </c>
      <c r="CA48" s="15">
        <f t="shared" si="28"/>
        <v>0.44578340448224396</v>
      </c>
      <c r="CB48" s="15">
        <f t="shared" si="29"/>
        <v>0.92188304305532887</v>
      </c>
      <c r="CC48" s="15">
        <f t="shared" si="30"/>
        <v>1.9556709934004823</v>
      </c>
      <c r="CD48" s="11">
        <f t="shared" si="27"/>
        <v>0.97800973169580518</v>
      </c>
    </row>
    <row r="49" spans="1:82" x14ac:dyDescent="0.25">
      <c r="A49">
        <v>6353</v>
      </c>
      <c r="B49" t="s">
        <v>357</v>
      </c>
      <c r="C49">
        <v>2.9146805320000002</v>
      </c>
      <c r="D49">
        <v>3.024901587</v>
      </c>
      <c r="E49">
        <v>1.147323197</v>
      </c>
      <c r="F49">
        <v>12.93224786</v>
      </c>
      <c r="G49">
        <v>4.7854380000000004E-3</v>
      </c>
      <c r="H49">
        <v>2.0120095000000001E-2</v>
      </c>
      <c r="I49" s="5" t="s">
        <v>499</v>
      </c>
      <c r="J49" t="s">
        <v>426</v>
      </c>
      <c r="K49">
        <v>101</v>
      </c>
      <c r="L49">
        <v>481</v>
      </c>
      <c r="M49">
        <v>0.93500000000000005</v>
      </c>
      <c r="N49">
        <v>72</v>
      </c>
      <c r="O49">
        <v>4.0000000000000001E-3</v>
      </c>
      <c r="P49" t="s">
        <v>88</v>
      </c>
      <c r="Q49" t="s">
        <v>120</v>
      </c>
      <c r="R49">
        <v>373</v>
      </c>
      <c r="S49">
        <v>4.5999999999999999E-2</v>
      </c>
      <c r="T49">
        <v>21</v>
      </c>
      <c r="U49" t="s">
        <v>90</v>
      </c>
      <c r="V49">
        <v>-1</v>
      </c>
      <c r="W49">
        <v>1</v>
      </c>
      <c r="X49">
        <v>0</v>
      </c>
      <c r="Y49">
        <v>11</v>
      </c>
      <c r="Z49">
        <v>456</v>
      </c>
      <c r="AA49">
        <v>8</v>
      </c>
      <c r="AB49">
        <v>5</v>
      </c>
      <c r="AC49">
        <v>0</v>
      </c>
      <c r="AD49">
        <v>481</v>
      </c>
      <c r="AE49">
        <v>0</v>
      </c>
      <c r="AF49">
        <v>4</v>
      </c>
      <c r="AG49">
        <v>21</v>
      </c>
      <c r="AH49">
        <v>5</v>
      </c>
      <c r="AI49">
        <v>0</v>
      </c>
      <c r="AJ49">
        <v>4</v>
      </c>
      <c r="AK49">
        <v>9</v>
      </c>
      <c r="AL49">
        <v>12</v>
      </c>
      <c r="AM49">
        <v>1</v>
      </c>
      <c r="AN49">
        <v>7</v>
      </c>
      <c r="AO49">
        <v>7</v>
      </c>
      <c r="AP49">
        <v>5</v>
      </c>
      <c r="AQ49">
        <v>0</v>
      </c>
      <c r="AR49">
        <v>11</v>
      </c>
      <c r="AS49">
        <v>1</v>
      </c>
      <c r="AT49">
        <v>0</v>
      </c>
      <c r="AU49">
        <v>0</v>
      </c>
      <c r="AV49">
        <v>0</v>
      </c>
      <c r="AW49">
        <v>1</v>
      </c>
      <c r="AX49">
        <v>2</v>
      </c>
      <c r="AY49">
        <v>0</v>
      </c>
      <c r="AZ49">
        <v>2</v>
      </c>
      <c r="BA49">
        <v>4</v>
      </c>
      <c r="BB49">
        <v>1</v>
      </c>
      <c r="BC49" s="3">
        <f t="shared" si="26"/>
        <v>0</v>
      </c>
      <c r="BD49" s="3">
        <f t="shared" si="0"/>
        <v>11.508569136722089</v>
      </c>
      <c r="BE49" s="3">
        <f t="shared" si="1"/>
        <v>66.560486842418044</v>
      </c>
      <c r="BF49" s="3">
        <f t="shared" si="2"/>
        <v>38.144819094380964</v>
      </c>
      <c r="BG49" s="3">
        <f t="shared" si="3"/>
        <v>0</v>
      </c>
      <c r="BH49" s="3">
        <f t="shared" si="4"/>
        <v>29.413927494668723</v>
      </c>
      <c r="BI49" s="3">
        <f t="shared" si="5"/>
        <v>32.487808047591031</v>
      </c>
      <c r="BJ49" s="3">
        <f t="shared" si="6"/>
        <v>45.116776316098665</v>
      </c>
      <c r="BK49" s="3">
        <f t="shared" si="7"/>
        <v>3.8831867527413846</v>
      </c>
      <c r="BL49" s="3">
        <f t="shared" si="8"/>
        <v>24.032515306566488</v>
      </c>
      <c r="BM49" s="3">
        <f t="shared" si="9"/>
        <v>25.103268571084296</v>
      </c>
      <c r="BN49" s="3">
        <f t="shared" si="10"/>
        <v>15.398604424481009</v>
      </c>
      <c r="BO49" s="3">
        <f t="shared" si="11"/>
        <v>0</v>
      </c>
      <c r="BP49" s="3">
        <f t="shared" si="12"/>
        <v>20.491642949142349</v>
      </c>
      <c r="BQ49" s="3">
        <f t="shared" si="13"/>
        <v>5.0112452343057825</v>
      </c>
      <c r="BR49" s="3">
        <f t="shared" si="14"/>
        <v>0</v>
      </c>
      <c r="BS49" s="3">
        <f t="shared" si="15"/>
        <v>0</v>
      </c>
      <c r="BT49" s="3">
        <f t="shared" si="16"/>
        <v>0</v>
      </c>
      <c r="BU49" s="3">
        <f t="shared" si="17"/>
        <v>5.1673631410953673</v>
      </c>
      <c r="BV49" s="3">
        <f t="shared" si="18"/>
        <v>4.7640497185756736</v>
      </c>
      <c r="BW49" s="3">
        <f t="shared" si="19"/>
        <v>0</v>
      </c>
      <c r="BX49" s="3">
        <f t="shared" si="20"/>
        <v>5.9080302833816267</v>
      </c>
      <c r="BY49" s="3">
        <f t="shared" si="21"/>
        <v>30.245037734465203</v>
      </c>
      <c r="BZ49" s="3">
        <f t="shared" si="22"/>
        <v>30.089214521054927</v>
      </c>
      <c r="CA49" s="15">
        <f t="shared" si="28"/>
        <v>2.9084607905701013E-2</v>
      </c>
      <c r="CB49" s="15">
        <f t="shared" si="29"/>
        <v>0.68423574958285305</v>
      </c>
      <c r="CC49" s="15">
        <f t="shared" si="30"/>
        <v>1.2326487872340344</v>
      </c>
      <c r="CD49" s="11">
        <f t="shared" si="27"/>
        <v>0.99869173326123917</v>
      </c>
    </row>
    <row r="50" spans="1:82" x14ac:dyDescent="0.25">
      <c r="A50">
        <v>37592</v>
      </c>
      <c r="B50" t="s">
        <v>358</v>
      </c>
      <c r="C50">
        <v>16.96146134</v>
      </c>
      <c r="D50">
        <v>0.15605466000000001</v>
      </c>
      <c r="E50">
        <v>0.87698566700000002</v>
      </c>
      <c r="F50">
        <v>11.703340710000001</v>
      </c>
      <c r="G50">
        <v>8.4716600000000006E-3</v>
      </c>
      <c r="H50">
        <v>3.0826349999999999E-2</v>
      </c>
      <c r="I50" s="5" t="s">
        <v>359</v>
      </c>
      <c r="J50" t="s">
        <v>427</v>
      </c>
      <c r="K50">
        <v>320</v>
      </c>
      <c r="L50">
        <v>2412</v>
      </c>
      <c r="M50">
        <v>4.6900000000000004</v>
      </c>
      <c r="N50">
        <v>46</v>
      </c>
      <c r="O50">
        <v>0.96</v>
      </c>
      <c r="P50" t="s">
        <v>36</v>
      </c>
      <c r="Q50" t="s">
        <v>428</v>
      </c>
      <c r="R50">
        <v>835</v>
      </c>
      <c r="S50">
        <v>5.2999999999999999E-2</v>
      </c>
      <c r="T50">
        <v>21</v>
      </c>
      <c r="U50" t="s">
        <v>43</v>
      </c>
      <c r="V50">
        <v>-1</v>
      </c>
      <c r="W50">
        <v>22</v>
      </c>
      <c r="X50">
        <v>26</v>
      </c>
      <c r="Y50">
        <v>276</v>
      </c>
      <c r="Z50">
        <v>1842</v>
      </c>
      <c r="AA50">
        <v>154</v>
      </c>
      <c r="AB50">
        <v>80</v>
      </c>
      <c r="AC50">
        <v>12</v>
      </c>
      <c r="AD50">
        <v>2412</v>
      </c>
      <c r="AE50">
        <v>23</v>
      </c>
      <c r="AF50">
        <v>44</v>
      </c>
      <c r="AG50">
        <v>0</v>
      </c>
      <c r="AH50">
        <v>1</v>
      </c>
      <c r="AI50">
        <v>6</v>
      </c>
      <c r="AJ50">
        <v>66</v>
      </c>
      <c r="AK50">
        <v>12</v>
      </c>
      <c r="AL50">
        <v>1</v>
      </c>
      <c r="AM50">
        <v>21</v>
      </c>
      <c r="AN50">
        <v>0</v>
      </c>
      <c r="AO50">
        <v>2</v>
      </c>
      <c r="AP50">
        <v>8</v>
      </c>
      <c r="AQ50">
        <v>35</v>
      </c>
      <c r="AR50">
        <v>45</v>
      </c>
      <c r="AS50">
        <v>0</v>
      </c>
      <c r="AT50">
        <v>0</v>
      </c>
      <c r="AU50">
        <v>5</v>
      </c>
      <c r="AV50">
        <v>32</v>
      </c>
      <c r="AW50">
        <v>8</v>
      </c>
      <c r="AX50">
        <v>18</v>
      </c>
      <c r="AY50">
        <v>37</v>
      </c>
      <c r="AZ50">
        <v>42</v>
      </c>
      <c r="BA50">
        <v>12</v>
      </c>
      <c r="BB50">
        <v>4</v>
      </c>
      <c r="BC50" s="3">
        <f t="shared" si="26"/>
        <v>259.17434940195517</v>
      </c>
      <c r="BD50" s="3">
        <f t="shared" si="0"/>
        <v>126.59426050394299</v>
      </c>
      <c r="BE50" s="3">
        <f t="shared" si="1"/>
        <v>0</v>
      </c>
      <c r="BF50" s="3">
        <f t="shared" si="2"/>
        <v>7.6289638188761932</v>
      </c>
      <c r="BG50" s="3">
        <f t="shared" si="3"/>
        <v>90.048513636721779</v>
      </c>
      <c r="BH50" s="3">
        <f t="shared" si="4"/>
        <v>485.32980366203395</v>
      </c>
      <c r="BI50" s="3">
        <f t="shared" si="5"/>
        <v>43.317077396788036</v>
      </c>
      <c r="BJ50" s="3">
        <f t="shared" si="6"/>
        <v>3.7597313596748885</v>
      </c>
      <c r="BK50" s="3">
        <f t="shared" si="7"/>
        <v>81.546921807569063</v>
      </c>
      <c r="BL50" s="3">
        <f t="shared" si="8"/>
        <v>0</v>
      </c>
      <c r="BM50" s="3">
        <f t="shared" si="9"/>
        <v>7.1723624488812279</v>
      </c>
      <c r="BN50" s="3">
        <f t="shared" si="10"/>
        <v>24.637767079169613</v>
      </c>
      <c r="BO50" s="3">
        <f t="shared" si="11"/>
        <v>170.86556590187237</v>
      </c>
      <c r="BP50" s="3">
        <f t="shared" si="12"/>
        <v>83.829448428309618</v>
      </c>
      <c r="BQ50" s="3">
        <f t="shared" si="13"/>
        <v>0</v>
      </c>
      <c r="BR50" s="3">
        <f t="shared" si="14"/>
        <v>0</v>
      </c>
      <c r="BS50" s="3">
        <f t="shared" si="15"/>
        <v>29.654680146102677</v>
      </c>
      <c r="BT50" s="3">
        <f t="shared" si="16"/>
        <v>160.65007051032003</v>
      </c>
      <c r="BU50" s="3">
        <f t="shared" si="17"/>
        <v>41.338905128762939</v>
      </c>
      <c r="BV50" s="3">
        <f t="shared" si="18"/>
        <v>42.876447467181059</v>
      </c>
      <c r="BW50" s="3">
        <f t="shared" si="19"/>
        <v>169.09427394232102</v>
      </c>
      <c r="BX50" s="3">
        <f t="shared" si="20"/>
        <v>124.06863595101416</v>
      </c>
      <c r="BY50" s="3">
        <f t="shared" si="21"/>
        <v>90.735113203395599</v>
      </c>
      <c r="BZ50" s="3">
        <f t="shared" si="22"/>
        <v>120.35685808421971</v>
      </c>
      <c r="CA50" s="15">
        <f t="shared" si="28"/>
        <v>4.0167883042163366</v>
      </c>
      <c r="CB50" s="15">
        <f t="shared" si="29"/>
        <v>4.920572927671242</v>
      </c>
      <c r="CC50" s="15">
        <f t="shared" si="30"/>
        <v>0.91620832536908459</v>
      </c>
      <c r="CD50" s="12">
        <f t="shared" si="27"/>
        <v>-0.73815858558759984</v>
      </c>
    </row>
    <row r="51" spans="1:82" x14ac:dyDescent="0.25">
      <c r="A51">
        <v>36321</v>
      </c>
      <c r="B51" t="s">
        <v>360</v>
      </c>
      <c r="C51">
        <v>1.655514395</v>
      </c>
      <c r="D51">
        <v>-0.74454075799999997</v>
      </c>
      <c r="E51">
        <v>1.206289774</v>
      </c>
      <c r="F51">
        <v>11.449650249999999</v>
      </c>
      <c r="G51">
        <v>9.5271090000000006E-3</v>
      </c>
      <c r="H51">
        <v>3.361517E-2</v>
      </c>
      <c r="I51" s="5" t="s">
        <v>485</v>
      </c>
      <c r="J51" t="s">
        <v>429</v>
      </c>
      <c r="K51">
        <v>383</v>
      </c>
      <c r="L51">
        <v>19781</v>
      </c>
      <c r="M51">
        <v>38.460999999999999</v>
      </c>
      <c r="N51">
        <v>3769</v>
      </c>
      <c r="O51">
        <v>2E-3</v>
      </c>
      <c r="P51" t="s">
        <v>88</v>
      </c>
      <c r="Q51" t="s">
        <v>430</v>
      </c>
      <c r="R51">
        <v>15355</v>
      </c>
      <c r="S51">
        <v>4.0000000000000001E-3</v>
      </c>
      <c r="T51">
        <v>24</v>
      </c>
      <c r="U51" t="s">
        <v>43</v>
      </c>
      <c r="V51">
        <v>-1</v>
      </c>
      <c r="W51">
        <v>3</v>
      </c>
      <c r="X51">
        <v>59</v>
      </c>
      <c r="Y51">
        <v>5</v>
      </c>
      <c r="Z51">
        <v>27</v>
      </c>
      <c r="AA51">
        <v>96</v>
      </c>
      <c r="AB51">
        <v>799</v>
      </c>
      <c r="AC51">
        <v>18792</v>
      </c>
      <c r="AD51">
        <v>19781</v>
      </c>
      <c r="AE51">
        <v>1</v>
      </c>
      <c r="AF51">
        <v>9</v>
      </c>
      <c r="AG51">
        <v>0</v>
      </c>
      <c r="AH51">
        <v>0</v>
      </c>
      <c r="AI51">
        <v>0</v>
      </c>
      <c r="AJ51">
        <v>2</v>
      </c>
      <c r="AK51">
        <v>0</v>
      </c>
      <c r="AL51">
        <v>1</v>
      </c>
      <c r="AM51">
        <v>2</v>
      </c>
      <c r="AN51">
        <v>0</v>
      </c>
      <c r="AO51">
        <v>0</v>
      </c>
      <c r="AP51">
        <v>0</v>
      </c>
      <c r="AQ51">
        <v>12</v>
      </c>
      <c r="AR51">
        <v>0</v>
      </c>
      <c r="AS51">
        <v>0</v>
      </c>
      <c r="AT51">
        <v>0</v>
      </c>
      <c r="AU51">
        <v>2</v>
      </c>
      <c r="AV51">
        <v>3</v>
      </c>
      <c r="AW51">
        <v>0</v>
      </c>
      <c r="AX51">
        <v>0</v>
      </c>
      <c r="AY51">
        <v>6</v>
      </c>
      <c r="AZ51">
        <v>7</v>
      </c>
      <c r="BA51">
        <v>2</v>
      </c>
      <c r="BB51">
        <v>0</v>
      </c>
      <c r="BC51" s="3">
        <f t="shared" si="26"/>
        <v>11.268449973998051</v>
      </c>
      <c r="BD51" s="3">
        <f t="shared" si="0"/>
        <v>25.8942805576247</v>
      </c>
      <c r="BE51" s="3">
        <f t="shared" si="1"/>
        <v>0</v>
      </c>
      <c r="BF51" s="3">
        <f t="shared" si="2"/>
        <v>0</v>
      </c>
      <c r="BG51" s="3">
        <f t="shared" si="3"/>
        <v>0</v>
      </c>
      <c r="BH51" s="3">
        <f t="shared" si="4"/>
        <v>14.706963747334362</v>
      </c>
      <c r="BI51" s="3">
        <f t="shared" si="5"/>
        <v>0</v>
      </c>
      <c r="BJ51" s="3">
        <f t="shared" si="6"/>
        <v>3.7597313596748885</v>
      </c>
      <c r="BK51" s="3">
        <f t="shared" si="7"/>
        <v>7.7663735054827692</v>
      </c>
      <c r="BL51" s="3">
        <f t="shared" si="8"/>
        <v>0</v>
      </c>
      <c r="BM51" s="3">
        <f t="shared" si="9"/>
        <v>0</v>
      </c>
      <c r="BN51" s="3">
        <f t="shared" si="10"/>
        <v>0</v>
      </c>
      <c r="BO51" s="3">
        <f t="shared" si="11"/>
        <v>58.582479737784823</v>
      </c>
      <c r="BP51" s="3">
        <f t="shared" si="12"/>
        <v>0</v>
      </c>
      <c r="BQ51" s="3">
        <f t="shared" si="13"/>
        <v>0</v>
      </c>
      <c r="BR51" s="3">
        <f t="shared" si="14"/>
        <v>0</v>
      </c>
      <c r="BS51" s="3">
        <f t="shared" si="15"/>
        <v>11.861872058441071</v>
      </c>
      <c r="BT51" s="3">
        <f t="shared" si="16"/>
        <v>15.060944110342501</v>
      </c>
      <c r="BU51" s="3">
        <f t="shared" si="17"/>
        <v>0</v>
      </c>
      <c r="BV51" s="3">
        <f t="shared" si="18"/>
        <v>0</v>
      </c>
      <c r="BW51" s="3">
        <f t="shared" si="19"/>
        <v>27.420693071727733</v>
      </c>
      <c r="BX51" s="3">
        <f t="shared" si="20"/>
        <v>20.678105991835693</v>
      </c>
      <c r="BY51" s="3">
        <f t="shared" si="21"/>
        <v>15.122518867232602</v>
      </c>
      <c r="BZ51" s="3">
        <f t="shared" si="22"/>
        <v>0</v>
      </c>
      <c r="CA51" s="15">
        <f t="shared" si="28"/>
        <v>31.09261198851798</v>
      </c>
      <c r="CB51" s="15">
        <f t="shared" si="29"/>
        <v>20.304720498365221</v>
      </c>
      <c r="CC51" s="15">
        <f t="shared" si="30"/>
        <v>4.0222338833645486</v>
      </c>
      <c r="CD51">
        <f t="shared" si="27"/>
        <v>-0.99320348427871419</v>
      </c>
    </row>
    <row r="52" spans="1:82" x14ac:dyDescent="0.25">
      <c r="A52">
        <v>15082</v>
      </c>
      <c r="B52" t="s">
        <v>361</v>
      </c>
      <c r="C52">
        <v>93.57375073</v>
      </c>
      <c r="D52">
        <v>0.56935050600000003</v>
      </c>
      <c r="E52">
        <v>0.45729904500000002</v>
      </c>
      <c r="F52">
        <v>11.341962479999999</v>
      </c>
      <c r="G52">
        <v>1.0013431E-2</v>
      </c>
      <c r="H52">
        <v>3.4862630999999998E-2</v>
      </c>
      <c r="I52" s="5" t="s">
        <v>362</v>
      </c>
      <c r="J52" t="s">
        <v>431</v>
      </c>
      <c r="K52">
        <v>133</v>
      </c>
      <c r="L52">
        <v>4704</v>
      </c>
      <c r="M52">
        <v>9.1460000000000008</v>
      </c>
      <c r="N52">
        <v>449</v>
      </c>
      <c r="O52">
        <v>0.97099999999999997</v>
      </c>
      <c r="P52" t="s">
        <v>36</v>
      </c>
      <c r="Q52" t="s">
        <v>408</v>
      </c>
      <c r="R52">
        <v>1687</v>
      </c>
      <c r="S52">
        <v>2.1999999999999999E-2</v>
      </c>
      <c r="T52">
        <v>22</v>
      </c>
      <c r="U52" t="s">
        <v>43</v>
      </c>
      <c r="V52">
        <v>-1</v>
      </c>
      <c r="W52">
        <v>6</v>
      </c>
      <c r="X52">
        <v>4</v>
      </c>
      <c r="Y52">
        <v>51</v>
      </c>
      <c r="Z52">
        <v>2153</v>
      </c>
      <c r="AA52">
        <v>2338</v>
      </c>
      <c r="AB52">
        <v>5</v>
      </c>
      <c r="AC52">
        <v>147</v>
      </c>
      <c r="AD52">
        <v>4704</v>
      </c>
      <c r="AE52">
        <v>23</v>
      </c>
      <c r="AF52">
        <v>175</v>
      </c>
      <c r="AG52">
        <v>320</v>
      </c>
      <c r="AH52">
        <v>77</v>
      </c>
      <c r="AI52">
        <v>16</v>
      </c>
      <c r="AJ52">
        <v>44</v>
      </c>
      <c r="AK52">
        <v>161</v>
      </c>
      <c r="AL52">
        <v>318</v>
      </c>
      <c r="AM52">
        <v>129</v>
      </c>
      <c r="AN52">
        <v>164</v>
      </c>
      <c r="AO52">
        <v>168</v>
      </c>
      <c r="AP52">
        <v>315</v>
      </c>
      <c r="AQ52">
        <v>81</v>
      </c>
      <c r="AR52">
        <v>366</v>
      </c>
      <c r="AS52">
        <v>80</v>
      </c>
      <c r="AT52">
        <v>150</v>
      </c>
      <c r="AU52">
        <v>7</v>
      </c>
      <c r="AV52">
        <v>19</v>
      </c>
      <c r="AW52">
        <v>84</v>
      </c>
      <c r="AX52">
        <v>117</v>
      </c>
      <c r="AY52">
        <v>26</v>
      </c>
      <c r="AZ52">
        <v>68</v>
      </c>
      <c r="BA52">
        <v>114</v>
      </c>
      <c r="BB52">
        <v>12</v>
      </c>
      <c r="BC52" s="3">
        <f t="shared" si="26"/>
        <v>259.17434940195517</v>
      </c>
      <c r="BD52" s="3">
        <f t="shared" si="0"/>
        <v>503.49989973159143</v>
      </c>
      <c r="BE52" s="3">
        <f t="shared" si="1"/>
        <v>1014.2550375987512</v>
      </c>
      <c r="BF52" s="3">
        <f t="shared" si="2"/>
        <v>587.43021405346678</v>
      </c>
      <c r="BG52" s="3">
        <f t="shared" si="3"/>
        <v>240.12936969792477</v>
      </c>
      <c r="BH52" s="3">
        <f t="shared" si="4"/>
        <v>323.55320244135595</v>
      </c>
      <c r="BI52" s="3">
        <f t="shared" si="5"/>
        <v>581.17078840690624</v>
      </c>
      <c r="BJ52" s="3">
        <f t="shared" si="6"/>
        <v>1195.5945723766145</v>
      </c>
      <c r="BK52" s="3">
        <f t="shared" si="7"/>
        <v>500.93109110363855</v>
      </c>
      <c r="BL52" s="3">
        <f t="shared" si="8"/>
        <v>563.04750146812921</v>
      </c>
      <c r="BM52" s="3">
        <f t="shared" si="9"/>
        <v>602.47844570602319</v>
      </c>
      <c r="BN52" s="3">
        <f t="shared" si="10"/>
        <v>970.11207874230354</v>
      </c>
      <c r="BO52" s="3">
        <f t="shared" si="11"/>
        <v>395.43173823004753</v>
      </c>
      <c r="BP52" s="3">
        <f t="shared" si="12"/>
        <v>681.81284721691827</v>
      </c>
      <c r="BQ52" s="3">
        <f t="shared" si="13"/>
        <v>400.8996187444626</v>
      </c>
      <c r="BR52" s="3">
        <f t="shared" si="14"/>
        <v>696.30512647686317</v>
      </c>
      <c r="BS52" s="3">
        <f t="shared" si="15"/>
        <v>41.51655220454375</v>
      </c>
      <c r="BT52" s="3">
        <f t="shared" si="16"/>
        <v>95.385979365502507</v>
      </c>
      <c r="BU52" s="3">
        <f t="shared" si="17"/>
        <v>434.05850385201086</v>
      </c>
      <c r="BV52" s="3">
        <f t="shared" si="18"/>
        <v>278.69690853667686</v>
      </c>
      <c r="BW52" s="3">
        <f t="shared" si="19"/>
        <v>118.82300331082017</v>
      </c>
      <c r="BX52" s="3">
        <f t="shared" si="20"/>
        <v>200.8730296349753</v>
      </c>
      <c r="BY52" s="3">
        <f t="shared" si="21"/>
        <v>861.98357543225825</v>
      </c>
      <c r="BZ52" s="3">
        <f t="shared" si="22"/>
        <v>361.07057425265918</v>
      </c>
      <c r="CA52" s="15">
        <f t="shared" si="28"/>
        <v>0.38051513713724761</v>
      </c>
      <c r="CB52" s="15">
        <f t="shared" si="29"/>
        <v>0.57912720653265226</v>
      </c>
      <c r="CC52" s="15">
        <f t="shared" si="30"/>
        <v>0.95246917383099905</v>
      </c>
      <c r="CD52" s="11">
        <f t="shared" si="27"/>
        <v>0.98479908760460722</v>
      </c>
    </row>
    <row r="53" spans="1:82" x14ac:dyDescent="0.25">
      <c r="A53">
        <v>12850</v>
      </c>
      <c r="B53" t="s">
        <v>103</v>
      </c>
      <c r="C53">
        <v>66.579692399999999</v>
      </c>
      <c r="D53">
        <v>0.195748754</v>
      </c>
      <c r="E53">
        <v>0.48439690000000002</v>
      </c>
      <c r="F53">
        <v>10.63528502</v>
      </c>
      <c r="G53">
        <v>1.3870711000000001E-2</v>
      </c>
      <c r="H53">
        <v>4.4285946999999999E-2</v>
      </c>
      <c r="I53" s="5" t="s">
        <v>502</v>
      </c>
      <c r="J53" t="s">
        <v>105</v>
      </c>
      <c r="K53">
        <v>190</v>
      </c>
      <c r="L53">
        <v>5913</v>
      </c>
      <c r="M53">
        <v>11.497</v>
      </c>
      <c r="N53">
        <v>5909</v>
      </c>
      <c r="O53">
        <v>0.187</v>
      </c>
      <c r="P53" t="s">
        <v>88</v>
      </c>
      <c r="Q53" t="s">
        <v>106</v>
      </c>
      <c r="R53">
        <v>4350</v>
      </c>
      <c r="S53">
        <v>2.1000000000000001E-2</v>
      </c>
      <c r="T53">
        <v>21</v>
      </c>
      <c r="U53" t="s">
        <v>43</v>
      </c>
      <c r="V53">
        <v>-1</v>
      </c>
      <c r="W53">
        <v>91</v>
      </c>
      <c r="X53">
        <v>12</v>
      </c>
      <c r="Y53">
        <v>124</v>
      </c>
      <c r="Z53">
        <v>5635</v>
      </c>
      <c r="AA53">
        <v>44</v>
      </c>
      <c r="AB53">
        <v>6</v>
      </c>
      <c r="AC53">
        <v>1</v>
      </c>
      <c r="AD53">
        <v>5913</v>
      </c>
      <c r="AE53">
        <v>11</v>
      </c>
      <c r="AF53">
        <v>140</v>
      </c>
      <c r="AG53">
        <v>85</v>
      </c>
      <c r="AH53">
        <v>9</v>
      </c>
      <c r="AI53">
        <v>15</v>
      </c>
      <c r="AJ53">
        <v>74</v>
      </c>
      <c r="AK53">
        <v>68</v>
      </c>
      <c r="AL53">
        <v>105</v>
      </c>
      <c r="AM53">
        <v>242</v>
      </c>
      <c r="AN53">
        <v>60</v>
      </c>
      <c r="AO53">
        <v>20</v>
      </c>
      <c r="AP53">
        <v>45</v>
      </c>
      <c r="AQ53">
        <v>68</v>
      </c>
      <c r="AR53">
        <v>412</v>
      </c>
      <c r="AS53">
        <v>23</v>
      </c>
      <c r="AT53">
        <v>46</v>
      </c>
      <c r="AU53">
        <v>56</v>
      </c>
      <c r="AV53">
        <v>47</v>
      </c>
      <c r="AW53">
        <v>33</v>
      </c>
      <c r="AX53">
        <v>47</v>
      </c>
      <c r="AY53">
        <v>129</v>
      </c>
      <c r="AZ53">
        <v>341</v>
      </c>
      <c r="BA53">
        <v>63</v>
      </c>
      <c r="BB53">
        <v>16</v>
      </c>
      <c r="BC53" s="3">
        <f t="shared" si="26"/>
        <v>123.95294971397857</v>
      </c>
      <c r="BD53" s="3">
        <f t="shared" si="0"/>
        <v>402.79991978527312</v>
      </c>
      <c r="BE53" s="3">
        <f t="shared" si="1"/>
        <v>269.4114943621683</v>
      </c>
      <c r="BF53" s="3">
        <f t="shared" si="2"/>
        <v>68.660674369885726</v>
      </c>
      <c r="BG53" s="3">
        <f t="shared" si="3"/>
        <v>225.12128409180445</v>
      </c>
      <c r="BH53" s="3">
        <f t="shared" si="4"/>
        <v>544.15765865137143</v>
      </c>
      <c r="BI53" s="3">
        <f t="shared" si="5"/>
        <v>245.46343858179887</v>
      </c>
      <c r="BJ53" s="3">
        <f t="shared" si="6"/>
        <v>394.77179276586327</v>
      </c>
      <c r="BK53" s="3">
        <f t="shared" si="7"/>
        <v>939.73119416341501</v>
      </c>
      <c r="BL53" s="3">
        <f t="shared" si="8"/>
        <v>205.99298834199848</v>
      </c>
      <c r="BM53" s="3">
        <f t="shared" si="9"/>
        <v>71.723624488812277</v>
      </c>
      <c r="BN53" s="3">
        <f t="shared" si="10"/>
        <v>138.58743982032908</v>
      </c>
      <c r="BO53" s="3">
        <f t="shared" si="11"/>
        <v>331.96738518078064</v>
      </c>
      <c r="BP53" s="3">
        <f t="shared" si="12"/>
        <v>767.50517227696798</v>
      </c>
      <c r="BQ53" s="3">
        <f t="shared" si="13"/>
        <v>115.25864038903299</v>
      </c>
      <c r="BR53" s="3">
        <f t="shared" si="14"/>
        <v>213.53357211957137</v>
      </c>
      <c r="BS53" s="3">
        <f t="shared" si="15"/>
        <v>332.13241763635</v>
      </c>
      <c r="BT53" s="3">
        <f t="shared" si="16"/>
        <v>235.95479106203251</v>
      </c>
      <c r="BU53" s="3">
        <f t="shared" si="17"/>
        <v>170.52298365614712</v>
      </c>
      <c r="BV53" s="3">
        <f t="shared" si="18"/>
        <v>111.95516838652833</v>
      </c>
      <c r="BW53" s="3">
        <f t="shared" si="19"/>
        <v>589.54490104214631</v>
      </c>
      <c r="BX53" s="3">
        <f t="shared" si="20"/>
        <v>1007.3191633165674</v>
      </c>
      <c r="BY53" s="3">
        <f t="shared" si="21"/>
        <v>476.35934431782698</v>
      </c>
      <c r="BZ53" s="3">
        <f t="shared" si="22"/>
        <v>481.42743233687884</v>
      </c>
      <c r="CA53" s="15">
        <f t="shared" si="28"/>
        <v>1.8045177267311383</v>
      </c>
      <c r="CB53" s="15">
        <f t="shared" si="29"/>
        <v>2.2454742545065809</v>
      </c>
      <c r="CC53" s="15">
        <f t="shared" si="30"/>
        <v>0.95727517034565857</v>
      </c>
      <c r="CD53" s="12">
        <f t="shared" si="27"/>
        <v>-0.64705558992641132</v>
      </c>
    </row>
    <row r="54" spans="1:82" x14ac:dyDescent="0.25">
      <c r="A54">
        <v>39167</v>
      </c>
      <c r="B54" t="s">
        <v>363</v>
      </c>
      <c r="C54">
        <v>711441.70429999998</v>
      </c>
      <c r="D54">
        <v>-0.30801259600000003</v>
      </c>
      <c r="E54">
        <v>0.42723267300000001</v>
      </c>
      <c r="F54">
        <v>10.427765300000001</v>
      </c>
      <c r="G54">
        <v>1.5258999000000001E-2</v>
      </c>
      <c r="H54">
        <v>4.7556329000000001E-2</v>
      </c>
      <c r="I54" s="5" t="s">
        <v>364</v>
      </c>
      <c r="J54" t="s">
        <v>432</v>
      </c>
      <c r="K54">
        <v>304</v>
      </c>
      <c r="L54">
        <v>43794217</v>
      </c>
      <c r="M54">
        <v>85151.490999999995</v>
      </c>
      <c r="N54">
        <v>227622</v>
      </c>
      <c r="O54">
        <v>0.10100000000000001</v>
      </c>
      <c r="P54" t="s">
        <v>88</v>
      </c>
      <c r="Q54" t="s">
        <v>433</v>
      </c>
      <c r="R54">
        <v>28920320</v>
      </c>
      <c r="S54">
        <v>0</v>
      </c>
      <c r="T54">
        <v>21</v>
      </c>
      <c r="U54" t="s">
        <v>43</v>
      </c>
      <c r="V54">
        <v>-1</v>
      </c>
      <c r="W54">
        <v>26417</v>
      </c>
      <c r="X54">
        <v>990</v>
      </c>
      <c r="Y54">
        <v>79465</v>
      </c>
      <c r="Z54">
        <v>43384025</v>
      </c>
      <c r="AA54">
        <v>66896</v>
      </c>
      <c r="AB54">
        <v>9971</v>
      </c>
      <c r="AC54">
        <v>226453</v>
      </c>
      <c r="AD54">
        <v>43794217</v>
      </c>
      <c r="AE54">
        <v>603185</v>
      </c>
      <c r="AF54">
        <v>1425501</v>
      </c>
      <c r="AG54">
        <v>961823</v>
      </c>
      <c r="AH54">
        <v>172999</v>
      </c>
      <c r="AI54">
        <v>373411</v>
      </c>
      <c r="AJ54">
        <v>677456</v>
      </c>
      <c r="AK54">
        <v>1528551</v>
      </c>
      <c r="AL54">
        <v>808985</v>
      </c>
      <c r="AM54">
        <v>1197321</v>
      </c>
      <c r="AN54">
        <v>1033426</v>
      </c>
      <c r="AO54">
        <v>521536</v>
      </c>
      <c r="AP54">
        <v>1343674</v>
      </c>
      <c r="AQ54">
        <v>321900</v>
      </c>
      <c r="AR54">
        <v>2673440</v>
      </c>
      <c r="AS54">
        <v>745354</v>
      </c>
      <c r="AT54">
        <v>612520</v>
      </c>
      <c r="AU54">
        <v>850926</v>
      </c>
      <c r="AV54">
        <v>766153</v>
      </c>
      <c r="AW54">
        <v>239578</v>
      </c>
      <c r="AX54">
        <v>396697</v>
      </c>
      <c r="AY54">
        <v>1308709</v>
      </c>
      <c r="AZ54">
        <v>1682093</v>
      </c>
      <c r="BA54">
        <v>243143</v>
      </c>
      <c r="BB54">
        <v>26537</v>
      </c>
      <c r="BC54" s="3">
        <f t="shared" si="26"/>
        <v>6796959.9975660145</v>
      </c>
      <c r="BD54" s="3">
        <f t="shared" si="0"/>
        <v>4101369.2032416188</v>
      </c>
      <c r="BE54" s="3">
        <f t="shared" si="1"/>
        <v>3048543.1969635738</v>
      </c>
      <c r="BF54" s="3">
        <f t="shared" si="2"/>
        <v>1319803.1117017625</v>
      </c>
      <c r="BG54" s="3">
        <f t="shared" si="3"/>
        <v>5604184.2542669866</v>
      </c>
      <c r="BH54" s="3">
        <f t="shared" si="4"/>
        <v>4981660.4162070742</v>
      </c>
      <c r="BI54" s="3">
        <f t="shared" si="5"/>
        <v>5517696.8309948128</v>
      </c>
      <c r="BJ54" s="3">
        <f t="shared" si="6"/>
        <v>3041566.2740065898</v>
      </c>
      <c r="BK54" s="3">
        <f t="shared" si="7"/>
        <v>4649421.0459790668</v>
      </c>
      <c r="BL54" s="3">
        <f t="shared" si="8"/>
        <v>3547975.1661719689</v>
      </c>
      <c r="BM54" s="3">
        <f t="shared" si="9"/>
        <v>1870322.6110698602</v>
      </c>
      <c r="BN54" s="3">
        <f t="shared" si="10"/>
        <v>4138140.8802920189</v>
      </c>
      <c r="BO54" s="3">
        <f t="shared" si="11"/>
        <v>1571475.0189660778</v>
      </c>
      <c r="BP54" s="3">
        <f t="shared" si="12"/>
        <v>4980288.9023595573</v>
      </c>
      <c r="BQ54" s="3">
        <f t="shared" si="13"/>
        <v>3735151.6803707518</v>
      </c>
      <c r="BR54" s="3">
        <f t="shared" si="14"/>
        <v>2843338.7737973882</v>
      </c>
      <c r="BS54" s="3">
        <f t="shared" si="15"/>
        <v>5046787.6716005132</v>
      </c>
      <c r="BT54" s="3">
        <f t="shared" si="16"/>
        <v>3846329.1709904131</v>
      </c>
      <c r="BU54" s="3">
        <f t="shared" si="17"/>
        <v>1237986.5266173459</v>
      </c>
      <c r="BV54" s="3">
        <f t="shared" si="18"/>
        <v>944942.11560490693</v>
      </c>
      <c r="BW54" s="3">
        <f t="shared" si="19"/>
        <v>5980951.301534622</v>
      </c>
      <c r="BX54" s="3">
        <f t="shared" si="20"/>
        <v>4968928.1917321254</v>
      </c>
      <c r="BY54" s="3">
        <f t="shared" si="21"/>
        <v>1838467.3024677683</v>
      </c>
      <c r="BZ54" s="3">
        <f t="shared" si="22"/>
        <v>798477.48574523465</v>
      </c>
      <c r="CA54" s="15">
        <f t="shared" si="28"/>
        <v>2.2657168443481122</v>
      </c>
      <c r="CB54" s="15">
        <f t="shared" si="29"/>
        <v>2.0194107102163747</v>
      </c>
      <c r="CC54" s="15">
        <f t="shared" si="30"/>
        <v>1.3180356159164968</v>
      </c>
      <c r="CD54">
        <f t="shared" si="27"/>
        <v>-0.96365168113723421</v>
      </c>
    </row>
    <row r="55" spans="1:82" x14ac:dyDescent="0.25">
      <c r="A55">
        <v>8668</v>
      </c>
      <c r="B55" t="s">
        <v>365</v>
      </c>
      <c r="C55">
        <v>4.1435428439999997</v>
      </c>
      <c r="D55">
        <v>0.24790269100000001</v>
      </c>
      <c r="E55">
        <v>0.78564497799999999</v>
      </c>
      <c r="F55">
        <v>10.35351535</v>
      </c>
      <c r="G55">
        <v>1.5788234000000002E-2</v>
      </c>
      <c r="H55">
        <v>4.8742131000000001E-2</v>
      </c>
      <c r="I55" s="5" t="s">
        <v>484</v>
      </c>
      <c r="J55" t="s">
        <v>434</v>
      </c>
      <c r="K55">
        <v>405</v>
      </c>
      <c r="L55">
        <v>1063</v>
      </c>
      <c r="M55">
        <v>2.0670000000000002</v>
      </c>
      <c r="N55">
        <v>1050</v>
      </c>
      <c r="O55">
        <v>0.96599999999999997</v>
      </c>
      <c r="P55" t="s">
        <v>36</v>
      </c>
      <c r="Q55" t="s">
        <v>435</v>
      </c>
      <c r="R55">
        <v>427</v>
      </c>
      <c r="S55">
        <v>0.13100000000000001</v>
      </c>
      <c r="T55">
        <v>24</v>
      </c>
      <c r="U55" t="s">
        <v>43</v>
      </c>
      <c r="V55">
        <v>-1</v>
      </c>
      <c r="W55">
        <v>8</v>
      </c>
      <c r="X55">
        <v>29</v>
      </c>
      <c r="Y55">
        <v>1</v>
      </c>
      <c r="Z55">
        <v>25</v>
      </c>
      <c r="AA55">
        <v>40</v>
      </c>
      <c r="AB55">
        <v>68</v>
      </c>
      <c r="AC55">
        <v>892</v>
      </c>
      <c r="AD55">
        <v>1063</v>
      </c>
      <c r="AE55">
        <v>0</v>
      </c>
      <c r="AF55">
        <v>9</v>
      </c>
      <c r="AG55">
        <v>15</v>
      </c>
      <c r="AH55">
        <v>0</v>
      </c>
      <c r="AI55">
        <v>1</v>
      </c>
      <c r="AJ55">
        <v>3</v>
      </c>
      <c r="AK55">
        <v>2</v>
      </c>
      <c r="AL55">
        <v>3</v>
      </c>
      <c r="AM55">
        <v>14</v>
      </c>
      <c r="AN55">
        <v>5</v>
      </c>
      <c r="AO55">
        <v>10</v>
      </c>
      <c r="AP55">
        <v>1</v>
      </c>
      <c r="AQ55">
        <v>10</v>
      </c>
      <c r="AR55">
        <v>18</v>
      </c>
      <c r="AS55">
        <v>0</v>
      </c>
      <c r="AT55">
        <v>2</v>
      </c>
      <c r="AU55">
        <v>2</v>
      </c>
      <c r="AV55">
        <v>1</v>
      </c>
      <c r="AW55">
        <v>6</v>
      </c>
      <c r="AX55">
        <v>0</v>
      </c>
      <c r="AY55">
        <v>7</v>
      </c>
      <c r="AZ55">
        <v>36</v>
      </c>
      <c r="BA55">
        <v>2</v>
      </c>
      <c r="BB55">
        <v>0</v>
      </c>
      <c r="BC55" s="3">
        <f t="shared" si="26"/>
        <v>0</v>
      </c>
      <c r="BD55" s="3">
        <f t="shared" si="0"/>
        <v>25.8942805576247</v>
      </c>
      <c r="BE55" s="3">
        <f t="shared" si="1"/>
        <v>47.543204887441469</v>
      </c>
      <c r="BF55" s="3">
        <f t="shared" si="2"/>
        <v>0</v>
      </c>
      <c r="BG55" s="3">
        <f t="shared" si="3"/>
        <v>15.008085606120298</v>
      </c>
      <c r="BH55" s="3">
        <f t="shared" si="4"/>
        <v>22.060445621001541</v>
      </c>
      <c r="BI55" s="3">
        <f t="shared" si="5"/>
        <v>7.2195128994646733</v>
      </c>
      <c r="BJ55" s="3">
        <f t="shared" si="6"/>
        <v>11.279194079024666</v>
      </c>
      <c r="BK55" s="3">
        <f t="shared" si="7"/>
        <v>54.364614538379378</v>
      </c>
      <c r="BL55" s="3">
        <f t="shared" si="8"/>
        <v>17.166082361833205</v>
      </c>
      <c r="BM55" s="3">
        <f t="shared" si="9"/>
        <v>35.861812244406138</v>
      </c>
      <c r="BN55" s="3">
        <f t="shared" si="10"/>
        <v>3.0797208848962017</v>
      </c>
      <c r="BO55" s="3">
        <f t="shared" si="11"/>
        <v>48.818733114820688</v>
      </c>
      <c r="BP55" s="3">
        <f t="shared" si="12"/>
        <v>33.53177937132385</v>
      </c>
      <c r="BQ55" s="3">
        <f t="shared" si="13"/>
        <v>0</v>
      </c>
      <c r="BR55" s="3">
        <f t="shared" si="14"/>
        <v>9.2840683530248427</v>
      </c>
      <c r="BS55" s="3">
        <f t="shared" si="15"/>
        <v>11.861872058441071</v>
      </c>
      <c r="BT55" s="3">
        <f t="shared" si="16"/>
        <v>5.0203147034475011</v>
      </c>
      <c r="BU55" s="3">
        <f t="shared" si="17"/>
        <v>31.004178846572206</v>
      </c>
      <c r="BV55" s="3">
        <f t="shared" si="18"/>
        <v>0</v>
      </c>
      <c r="BW55" s="3">
        <f t="shared" si="19"/>
        <v>31.990808583682355</v>
      </c>
      <c r="BX55" s="3">
        <f t="shared" si="20"/>
        <v>106.34454510086927</v>
      </c>
      <c r="BY55" s="3">
        <f t="shared" si="21"/>
        <v>15.122518867232602</v>
      </c>
      <c r="BZ55" s="3">
        <f t="shared" si="22"/>
        <v>0</v>
      </c>
      <c r="CA55" s="15">
        <f t="shared" si="28"/>
        <v>6.8537930145770316</v>
      </c>
      <c r="CB55" s="15">
        <f t="shared" si="29"/>
        <v>8.8828657915422031</v>
      </c>
      <c r="CC55" s="15">
        <f t="shared" si="30"/>
        <v>5.7840089768664242</v>
      </c>
      <c r="CD55" s="12">
        <f t="shared" si="27"/>
        <v>-0.33983395421954499</v>
      </c>
    </row>
    <row r="56" spans="1:82" x14ac:dyDescent="0.25">
      <c r="A56">
        <v>38418</v>
      </c>
      <c r="B56" t="s">
        <v>241</v>
      </c>
      <c r="C56">
        <v>30.231118609999999</v>
      </c>
      <c r="D56">
        <v>0.69109848399999996</v>
      </c>
      <c r="E56">
        <v>0.487624903</v>
      </c>
      <c r="F56">
        <v>9.8955832249999993</v>
      </c>
      <c r="G56">
        <v>1.9474891000000001E-2</v>
      </c>
      <c r="H56">
        <v>5.6848198000000003E-2</v>
      </c>
      <c r="I56" s="5" t="s">
        <v>242</v>
      </c>
      <c r="J56" t="s">
        <v>243</v>
      </c>
      <c r="K56">
        <v>515</v>
      </c>
      <c r="L56">
        <v>1955</v>
      </c>
      <c r="M56">
        <v>3.8010000000000002</v>
      </c>
      <c r="N56">
        <v>42</v>
      </c>
      <c r="O56">
        <v>0.83399999999999996</v>
      </c>
      <c r="P56" t="s">
        <v>36</v>
      </c>
      <c r="Q56" t="s">
        <v>192</v>
      </c>
      <c r="R56">
        <v>1075</v>
      </c>
      <c r="S56">
        <v>5.5E-2</v>
      </c>
      <c r="T56">
        <v>21</v>
      </c>
      <c r="U56" t="s">
        <v>210</v>
      </c>
      <c r="V56">
        <v>-1</v>
      </c>
      <c r="W56">
        <v>33</v>
      </c>
      <c r="X56">
        <v>57</v>
      </c>
      <c r="Y56">
        <v>82</v>
      </c>
      <c r="Z56">
        <v>1463</v>
      </c>
      <c r="AA56">
        <v>299</v>
      </c>
      <c r="AB56">
        <v>17</v>
      </c>
      <c r="AC56">
        <v>4</v>
      </c>
      <c r="AD56">
        <v>1955</v>
      </c>
      <c r="AE56">
        <v>7</v>
      </c>
      <c r="AF56">
        <v>23</v>
      </c>
      <c r="AG56">
        <v>165</v>
      </c>
      <c r="AH56">
        <v>19</v>
      </c>
      <c r="AI56">
        <v>4</v>
      </c>
      <c r="AJ56">
        <v>13</v>
      </c>
      <c r="AK56">
        <v>27</v>
      </c>
      <c r="AL56">
        <v>37</v>
      </c>
      <c r="AM56">
        <v>13</v>
      </c>
      <c r="AN56">
        <v>43</v>
      </c>
      <c r="AO56">
        <v>100</v>
      </c>
      <c r="AP56">
        <v>89</v>
      </c>
      <c r="AQ56">
        <v>44</v>
      </c>
      <c r="AR56">
        <v>179</v>
      </c>
      <c r="AS56">
        <v>21</v>
      </c>
      <c r="AT56">
        <v>22</v>
      </c>
      <c r="AU56">
        <v>11</v>
      </c>
      <c r="AV56">
        <v>23</v>
      </c>
      <c r="AW56">
        <v>58</v>
      </c>
      <c r="AX56">
        <v>32</v>
      </c>
      <c r="AY56">
        <v>10</v>
      </c>
      <c r="AZ56">
        <v>33</v>
      </c>
      <c r="BA56">
        <v>30</v>
      </c>
      <c r="BB56">
        <v>5</v>
      </c>
      <c r="BC56" s="3">
        <f t="shared" si="26"/>
        <v>78.879149817986359</v>
      </c>
      <c r="BD56" s="3">
        <f t="shared" si="0"/>
        <v>66.174272536152003</v>
      </c>
      <c r="BE56" s="3">
        <f t="shared" si="1"/>
        <v>522.97525376185604</v>
      </c>
      <c r="BF56" s="3">
        <f t="shared" si="2"/>
        <v>144.95031255864765</v>
      </c>
      <c r="BG56" s="3">
        <f t="shared" si="3"/>
        <v>60.032342424481193</v>
      </c>
      <c r="BH56" s="3">
        <f t="shared" si="4"/>
        <v>95.595264357673358</v>
      </c>
      <c r="BI56" s="3">
        <f t="shared" si="5"/>
        <v>97.463424142773093</v>
      </c>
      <c r="BJ56" s="3">
        <f t="shared" si="6"/>
        <v>139.11006030797088</v>
      </c>
      <c r="BK56" s="3">
        <f t="shared" si="7"/>
        <v>50.481427785637997</v>
      </c>
      <c r="BL56" s="3">
        <f t="shared" si="8"/>
        <v>147.62830831176558</v>
      </c>
      <c r="BM56" s="3">
        <f t="shared" si="9"/>
        <v>358.61812244406144</v>
      </c>
      <c r="BN56" s="3">
        <f t="shared" si="10"/>
        <v>274.09515875576199</v>
      </c>
      <c r="BO56" s="3">
        <f t="shared" si="11"/>
        <v>214.80242570521102</v>
      </c>
      <c r="BP56" s="3">
        <f t="shared" si="12"/>
        <v>333.45491708149825</v>
      </c>
      <c r="BQ56" s="3">
        <f t="shared" si="13"/>
        <v>105.23614992042143</v>
      </c>
      <c r="BR56" s="3">
        <f t="shared" si="14"/>
        <v>102.12475188327326</v>
      </c>
      <c r="BS56" s="3">
        <f t="shared" si="15"/>
        <v>65.240296321425888</v>
      </c>
      <c r="BT56" s="3">
        <f t="shared" si="16"/>
        <v>115.46723817929251</v>
      </c>
      <c r="BU56" s="3">
        <f t="shared" si="17"/>
        <v>299.70706218353132</v>
      </c>
      <c r="BV56" s="3">
        <f t="shared" si="18"/>
        <v>76.224795497210778</v>
      </c>
      <c r="BW56" s="3">
        <f t="shared" si="19"/>
        <v>45.701155119546229</v>
      </c>
      <c r="BX56" s="3">
        <f t="shared" si="20"/>
        <v>97.482499675796845</v>
      </c>
      <c r="BY56" s="3">
        <f t="shared" si="21"/>
        <v>226.83778300848903</v>
      </c>
      <c r="BZ56" s="3">
        <f t="shared" si="22"/>
        <v>150.44607260527465</v>
      </c>
      <c r="CA56" s="15">
        <f t="shared" si="28"/>
        <v>0.58079500346810475</v>
      </c>
      <c r="CB56" s="15">
        <f t="shared" si="29"/>
        <v>0.96488120973800562</v>
      </c>
      <c r="CC56" s="15">
        <f t="shared" si="30"/>
        <v>1.8161516477435173</v>
      </c>
      <c r="CD56" s="11">
        <f t="shared" si="27"/>
        <v>0.97698337117735667</v>
      </c>
    </row>
    <row r="57" spans="1:82" x14ac:dyDescent="0.25">
      <c r="A57">
        <v>19140</v>
      </c>
      <c r="B57" t="s">
        <v>153</v>
      </c>
      <c r="C57">
        <v>35.766292989999997</v>
      </c>
      <c r="D57">
        <v>2.3622358590000001</v>
      </c>
      <c r="E57">
        <v>1.079132644</v>
      </c>
      <c r="F57">
        <v>9.0442694180000007</v>
      </c>
      <c r="G57">
        <v>2.8708054E-2</v>
      </c>
      <c r="H57">
        <v>7.5689311999999995E-2</v>
      </c>
      <c r="I57" s="5" t="s">
        <v>154</v>
      </c>
      <c r="J57" t="s">
        <v>155</v>
      </c>
      <c r="K57">
        <v>180</v>
      </c>
      <c r="L57">
        <v>18869</v>
      </c>
      <c r="M57">
        <v>36.688000000000002</v>
      </c>
      <c r="N57">
        <v>18761</v>
      </c>
      <c r="O57">
        <v>0.998</v>
      </c>
      <c r="P57" t="s">
        <v>36</v>
      </c>
      <c r="Q57" t="s">
        <v>156</v>
      </c>
      <c r="R57">
        <v>16000</v>
      </c>
      <c r="S57">
        <v>8.9999999999999993E-3</v>
      </c>
      <c r="T57">
        <v>21</v>
      </c>
      <c r="U57" t="s">
        <v>43</v>
      </c>
      <c r="V57">
        <v>-1</v>
      </c>
      <c r="W57">
        <v>408</v>
      </c>
      <c r="X57">
        <v>13</v>
      </c>
      <c r="Y57">
        <v>384</v>
      </c>
      <c r="Z57">
        <v>17879</v>
      </c>
      <c r="AA57">
        <v>165</v>
      </c>
      <c r="AB57">
        <v>11</v>
      </c>
      <c r="AC57">
        <v>9</v>
      </c>
      <c r="AD57">
        <v>18869</v>
      </c>
      <c r="AE57">
        <v>4</v>
      </c>
      <c r="AF57">
        <v>162</v>
      </c>
      <c r="AG57">
        <v>116</v>
      </c>
      <c r="AH57">
        <v>42</v>
      </c>
      <c r="AI57">
        <v>1</v>
      </c>
      <c r="AJ57">
        <v>54</v>
      </c>
      <c r="AK57">
        <v>397</v>
      </c>
      <c r="AL57">
        <v>38</v>
      </c>
      <c r="AM57">
        <v>4</v>
      </c>
      <c r="AN57">
        <v>1</v>
      </c>
      <c r="AO57">
        <v>26</v>
      </c>
      <c r="AP57">
        <v>108</v>
      </c>
      <c r="AQ57">
        <v>0</v>
      </c>
      <c r="AR57">
        <v>6</v>
      </c>
      <c r="AS57">
        <v>3</v>
      </c>
      <c r="AT57">
        <v>0</v>
      </c>
      <c r="AU57">
        <v>6</v>
      </c>
      <c r="AV57">
        <v>10</v>
      </c>
      <c r="AW57">
        <v>18</v>
      </c>
      <c r="AX57">
        <v>55</v>
      </c>
      <c r="AY57">
        <v>15</v>
      </c>
      <c r="AZ57">
        <v>59</v>
      </c>
      <c r="BA57">
        <v>28</v>
      </c>
      <c r="BB57">
        <v>4</v>
      </c>
      <c r="BC57" s="3">
        <f t="shared" ref="BC57:BZ57" si="31">AE57/AE$6*20000000</f>
        <v>45.073799895992202</v>
      </c>
      <c r="BD57" s="3">
        <f t="shared" si="31"/>
        <v>466.09705003724463</v>
      </c>
      <c r="BE57" s="3">
        <f t="shared" si="31"/>
        <v>367.66745112954726</v>
      </c>
      <c r="BF57" s="3">
        <f t="shared" si="31"/>
        <v>320.41648039280005</v>
      </c>
      <c r="BG57" s="3">
        <f t="shared" si="31"/>
        <v>15.008085606120298</v>
      </c>
      <c r="BH57" s="3">
        <f t="shared" si="31"/>
        <v>397.08802117802782</v>
      </c>
      <c r="BI57" s="3">
        <f t="shared" si="31"/>
        <v>1433.0733105437375</v>
      </c>
      <c r="BJ57" s="3">
        <f t="shared" si="31"/>
        <v>142.86979166764576</v>
      </c>
      <c r="BK57" s="3">
        <f t="shared" si="31"/>
        <v>15.532747010965538</v>
      </c>
      <c r="BL57" s="3">
        <f t="shared" si="31"/>
        <v>3.4332164723666416</v>
      </c>
      <c r="BM57" s="3">
        <f t="shared" si="31"/>
        <v>93.240711835455969</v>
      </c>
      <c r="BN57" s="3">
        <f t="shared" si="31"/>
        <v>332.60985556878984</v>
      </c>
      <c r="BO57" s="3">
        <f t="shared" si="31"/>
        <v>0</v>
      </c>
      <c r="BP57" s="3">
        <f t="shared" si="31"/>
        <v>11.177259790441282</v>
      </c>
      <c r="BQ57" s="3">
        <f t="shared" si="31"/>
        <v>15.033735702917346</v>
      </c>
      <c r="BR57" s="3">
        <f t="shared" si="31"/>
        <v>0</v>
      </c>
      <c r="BS57" s="3">
        <f t="shared" si="31"/>
        <v>35.58561617532321</v>
      </c>
      <c r="BT57" s="3">
        <f t="shared" si="31"/>
        <v>50.203147034475002</v>
      </c>
      <c r="BU57" s="3">
        <f t="shared" si="31"/>
        <v>93.012536539716621</v>
      </c>
      <c r="BV57" s="3">
        <f t="shared" si="31"/>
        <v>131.01136726083101</v>
      </c>
      <c r="BW57" s="3">
        <f t="shared" si="31"/>
        <v>68.551732679319329</v>
      </c>
      <c r="BX57" s="3">
        <f t="shared" si="31"/>
        <v>174.28689335975798</v>
      </c>
      <c r="BY57" s="3">
        <f t="shared" si="31"/>
        <v>211.71526414125643</v>
      </c>
      <c r="BZ57" s="3">
        <f t="shared" si="31"/>
        <v>120.35685808421971</v>
      </c>
      <c r="CA57" s="15">
        <f t="shared" si="28"/>
        <v>0.1716395491331443</v>
      </c>
      <c r="CB57" s="15">
        <f t="shared" si="29"/>
        <v>1.0525380575990808</v>
      </c>
      <c r="CC57" s="15">
        <f t="shared" si="30"/>
        <v>2.1138340129743591</v>
      </c>
      <c r="CD57" s="11">
        <f t="shared" si="27"/>
        <v>0.9985652090329451</v>
      </c>
    </row>
    <row r="58" spans="1:82" x14ac:dyDescent="0.25">
      <c r="A58">
        <v>19028</v>
      </c>
      <c r="B58" t="s">
        <v>107</v>
      </c>
      <c r="C58">
        <v>250.8486388</v>
      </c>
      <c r="D58">
        <v>-1.180385054</v>
      </c>
      <c r="E58">
        <v>1.62815127</v>
      </c>
      <c r="F58">
        <v>7.2073800669999999</v>
      </c>
      <c r="G58">
        <v>6.5573533000000003E-2</v>
      </c>
      <c r="H58">
        <v>0.13791529499999999</v>
      </c>
      <c r="I58" s="5" t="s">
        <v>108</v>
      </c>
      <c r="J58" t="s">
        <v>109</v>
      </c>
      <c r="K58">
        <v>528</v>
      </c>
      <c r="L58">
        <v>2932436</v>
      </c>
      <c r="M58">
        <v>5701.6959999999999</v>
      </c>
      <c r="N58">
        <v>2898922</v>
      </c>
      <c r="O58">
        <v>0.28299999999999997</v>
      </c>
      <c r="P58" t="s">
        <v>47</v>
      </c>
      <c r="Q58" t="s">
        <v>110</v>
      </c>
      <c r="R58">
        <v>1951650</v>
      </c>
      <c r="S58">
        <v>1E-3</v>
      </c>
      <c r="T58">
        <v>21</v>
      </c>
      <c r="U58" t="s">
        <v>95</v>
      </c>
      <c r="V58">
        <v>7566.3</v>
      </c>
      <c r="W58">
        <v>7245</v>
      </c>
      <c r="X58">
        <v>635</v>
      </c>
      <c r="Y58">
        <v>13294</v>
      </c>
      <c r="Z58">
        <v>2878595</v>
      </c>
      <c r="AA58">
        <v>24122</v>
      </c>
      <c r="AB58">
        <v>2272</v>
      </c>
      <c r="AC58">
        <v>6273</v>
      </c>
      <c r="AD58">
        <v>2932436</v>
      </c>
      <c r="AE58">
        <v>1</v>
      </c>
      <c r="AF58">
        <v>6</v>
      </c>
      <c r="AG58">
        <v>7</v>
      </c>
      <c r="AH58">
        <v>0</v>
      </c>
      <c r="AI58">
        <v>0</v>
      </c>
      <c r="AJ58">
        <v>4</v>
      </c>
      <c r="AK58">
        <v>13</v>
      </c>
      <c r="AL58">
        <v>16</v>
      </c>
      <c r="AM58">
        <v>5</v>
      </c>
      <c r="AN58">
        <v>3</v>
      </c>
      <c r="AO58">
        <v>6</v>
      </c>
      <c r="AP58">
        <v>29</v>
      </c>
      <c r="AQ58">
        <v>4</v>
      </c>
      <c r="AR58">
        <v>15</v>
      </c>
      <c r="AS58">
        <v>11</v>
      </c>
      <c r="AT58">
        <v>11</v>
      </c>
      <c r="AU58">
        <v>491</v>
      </c>
      <c r="AV58">
        <v>209</v>
      </c>
      <c r="AW58">
        <v>65</v>
      </c>
      <c r="AX58">
        <v>77</v>
      </c>
      <c r="AY58">
        <v>3158</v>
      </c>
      <c r="AZ58">
        <v>2494</v>
      </c>
      <c r="BA58">
        <v>276</v>
      </c>
      <c r="BB58">
        <v>18</v>
      </c>
      <c r="BC58" s="3">
        <f t="shared" ref="BC58:BZ58" si="32">AE58/AE$6*20000000</f>
        <v>11.268449973998051</v>
      </c>
      <c r="BD58" s="3">
        <f t="shared" si="32"/>
        <v>17.262853705083135</v>
      </c>
      <c r="BE58" s="3">
        <f t="shared" si="32"/>
        <v>22.18682894747268</v>
      </c>
      <c r="BF58" s="3">
        <f t="shared" si="32"/>
        <v>0</v>
      </c>
      <c r="BG58" s="3">
        <f t="shared" si="32"/>
        <v>0</v>
      </c>
      <c r="BH58" s="3">
        <f t="shared" si="32"/>
        <v>29.413927494668723</v>
      </c>
      <c r="BI58" s="3">
        <f t="shared" si="32"/>
        <v>46.926833846520374</v>
      </c>
      <c r="BJ58" s="3">
        <f t="shared" si="32"/>
        <v>60.155701754798216</v>
      </c>
      <c r="BK58" s="3">
        <f t="shared" si="32"/>
        <v>19.415933763706921</v>
      </c>
      <c r="BL58" s="3">
        <f t="shared" si="32"/>
        <v>10.299649417099925</v>
      </c>
      <c r="BM58" s="3">
        <f t="shared" si="32"/>
        <v>21.517087346643684</v>
      </c>
      <c r="BN58" s="3">
        <f t="shared" si="32"/>
        <v>89.311905661989854</v>
      </c>
      <c r="BO58" s="3">
        <f t="shared" si="32"/>
        <v>19.527493245928277</v>
      </c>
      <c r="BP58" s="3">
        <f t="shared" si="32"/>
        <v>27.943149476103205</v>
      </c>
      <c r="BQ58" s="3">
        <f t="shared" si="32"/>
        <v>55.123697577363608</v>
      </c>
      <c r="BR58" s="3">
        <f t="shared" si="32"/>
        <v>51.062375941636631</v>
      </c>
      <c r="BS58" s="3">
        <f t="shared" si="32"/>
        <v>2912.0895903472829</v>
      </c>
      <c r="BT58" s="3">
        <f t="shared" si="32"/>
        <v>1049.2457730205276</v>
      </c>
      <c r="BU58" s="3">
        <f t="shared" si="32"/>
        <v>335.87860417119884</v>
      </c>
      <c r="BV58" s="3">
        <f t="shared" si="32"/>
        <v>183.41591416516343</v>
      </c>
      <c r="BW58" s="3">
        <f t="shared" si="32"/>
        <v>14432.424786752697</v>
      </c>
      <c r="BX58" s="3">
        <f t="shared" si="32"/>
        <v>7367.3137633768874</v>
      </c>
      <c r="BY58" s="3">
        <f t="shared" si="32"/>
        <v>2086.9076036780989</v>
      </c>
      <c r="BZ58" s="3">
        <f t="shared" si="32"/>
        <v>541.60586137898872</v>
      </c>
      <c r="CA58" s="15">
        <f>AVERAGE(BC58,BG58,BK58,BO58,BS58,BW58)/AVERAGE($BF58,$BJ58,$BN58,$BR58,$BV58,$BZ58)</f>
        <v>18.793898976226323</v>
      </c>
      <c r="CB58" s="15">
        <f t="shared" si="29"/>
        <v>9.1853092328089136</v>
      </c>
      <c r="CC58" s="15">
        <f t="shared" si="30"/>
        <v>2.7751453453157571</v>
      </c>
      <c r="CD58">
        <f t="shared" si="27"/>
        <v>-0.9934209754945561</v>
      </c>
    </row>
    <row r="59" spans="1:82" x14ac:dyDescent="0.25">
      <c r="A59">
        <v>19863</v>
      </c>
      <c r="B59" t="s">
        <v>91</v>
      </c>
      <c r="C59">
        <v>8.7955236729999999</v>
      </c>
      <c r="D59">
        <v>-0.62573961899999997</v>
      </c>
      <c r="E59">
        <v>0.83902907800000004</v>
      </c>
      <c r="F59">
        <v>7.1174173319999996</v>
      </c>
      <c r="G59">
        <v>6.8247971000000004E-2</v>
      </c>
      <c r="H59">
        <v>0.14210473600000001</v>
      </c>
      <c r="I59" s="5" t="s">
        <v>92</v>
      </c>
      <c r="J59" t="s">
        <v>93</v>
      </c>
      <c r="K59">
        <v>90</v>
      </c>
      <c r="L59">
        <v>14317</v>
      </c>
      <c r="M59">
        <v>27.837</v>
      </c>
      <c r="N59">
        <v>14310</v>
      </c>
      <c r="O59">
        <v>0.53100000000000003</v>
      </c>
      <c r="P59" t="s">
        <v>47</v>
      </c>
      <c r="Q59" t="s">
        <v>94</v>
      </c>
      <c r="R59">
        <v>5538</v>
      </c>
      <c r="S59">
        <v>1.7000000000000001E-2</v>
      </c>
      <c r="T59">
        <v>21</v>
      </c>
      <c r="U59" t="s">
        <v>95</v>
      </c>
      <c r="V59">
        <v>63</v>
      </c>
      <c r="W59">
        <v>67</v>
      </c>
      <c r="X59">
        <v>0</v>
      </c>
      <c r="Y59">
        <v>491</v>
      </c>
      <c r="Z59">
        <v>9837</v>
      </c>
      <c r="AA59">
        <v>3850</v>
      </c>
      <c r="AB59">
        <v>59</v>
      </c>
      <c r="AC59">
        <v>13</v>
      </c>
      <c r="AD59">
        <v>14317</v>
      </c>
      <c r="AE59">
        <v>6</v>
      </c>
      <c r="AF59">
        <v>12</v>
      </c>
      <c r="AG59">
        <v>13</v>
      </c>
      <c r="AH59">
        <v>1</v>
      </c>
      <c r="AI59">
        <v>12</v>
      </c>
      <c r="AJ59">
        <v>25</v>
      </c>
      <c r="AK59">
        <v>17</v>
      </c>
      <c r="AL59">
        <v>33</v>
      </c>
      <c r="AM59">
        <v>4</v>
      </c>
      <c r="AN59">
        <v>6</v>
      </c>
      <c r="AO59">
        <v>0</v>
      </c>
      <c r="AP59">
        <v>2</v>
      </c>
      <c r="AQ59">
        <v>7</v>
      </c>
      <c r="AR59">
        <v>20</v>
      </c>
      <c r="AS59">
        <v>2</v>
      </c>
      <c r="AT59">
        <v>2</v>
      </c>
      <c r="AU59">
        <v>9</v>
      </c>
      <c r="AV59">
        <v>2</v>
      </c>
      <c r="AW59">
        <v>1</v>
      </c>
      <c r="AX59">
        <v>1</v>
      </c>
      <c r="AY59">
        <v>21</v>
      </c>
      <c r="AZ59">
        <v>23</v>
      </c>
      <c r="BA59">
        <v>1</v>
      </c>
      <c r="BB59">
        <v>0</v>
      </c>
      <c r="BC59" s="3">
        <f t="shared" ref="BC59:BZ59" si="33">AE59/AE$6*20000000</f>
        <v>67.610699843988314</v>
      </c>
      <c r="BD59" s="3">
        <f t="shared" si="33"/>
        <v>34.52570741016627</v>
      </c>
      <c r="BE59" s="3">
        <f t="shared" si="33"/>
        <v>41.204110902449273</v>
      </c>
      <c r="BF59" s="3">
        <f t="shared" si="33"/>
        <v>7.6289638188761932</v>
      </c>
      <c r="BG59" s="3">
        <f t="shared" si="33"/>
        <v>180.09702727344356</v>
      </c>
      <c r="BH59" s="3">
        <f t="shared" si="33"/>
        <v>183.83704684167955</v>
      </c>
      <c r="BI59" s="3">
        <f t="shared" si="33"/>
        <v>61.365859645449717</v>
      </c>
      <c r="BJ59" s="3">
        <f t="shared" si="33"/>
        <v>124.07113486927133</v>
      </c>
      <c r="BK59" s="3">
        <f t="shared" si="33"/>
        <v>15.532747010965538</v>
      </c>
      <c r="BL59" s="3">
        <f t="shared" si="33"/>
        <v>20.59929883419985</v>
      </c>
      <c r="BM59" s="3">
        <f t="shared" si="33"/>
        <v>0</v>
      </c>
      <c r="BN59" s="3">
        <f t="shared" si="33"/>
        <v>6.1594417697924033</v>
      </c>
      <c r="BO59" s="3">
        <f t="shared" si="33"/>
        <v>34.173113180374479</v>
      </c>
      <c r="BP59" s="3">
        <f t="shared" si="33"/>
        <v>37.257532634804271</v>
      </c>
      <c r="BQ59" s="3">
        <f t="shared" si="33"/>
        <v>10.022490468611565</v>
      </c>
      <c r="BR59" s="3">
        <f t="shared" si="33"/>
        <v>9.2840683530248427</v>
      </c>
      <c r="BS59" s="3">
        <f t="shared" si="33"/>
        <v>53.378424262984822</v>
      </c>
      <c r="BT59" s="3">
        <f t="shared" si="33"/>
        <v>10.040629406895002</v>
      </c>
      <c r="BU59" s="3">
        <f t="shared" si="33"/>
        <v>5.1673631410953673</v>
      </c>
      <c r="BV59" s="3">
        <f t="shared" si="33"/>
        <v>2.3820248592878368</v>
      </c>
      <c r="BW59" s="3">
        <f t="shared" si="33"/>
        <v>95.972425751047069</v>
      </c>
      <c r="BX59" s="3">
        <f t="shared" si="33"/>
        <v>67.9423482588887</v>
      </c>
      <c r="BY59" s="3">
        <f t="shared" si="33"/>
        <v>7.5612594336163008</v>
      </c>
      <c r="BZ59" s="3">
        <f t="shared" si="33"/>
        <v>0</v>
      </c>
      <c r="CA59" s="15">
        <f t="shared" si="28"/>
        <v>2.9878785754424477</v>
      </c>
      <c r="CB59" s="15">
        <f t="shared" si="29"/>
        <v>2.3688417476815578</v>
      </c>
      <c r="CC59" s="15">
        <f t="shared" si="30"/>
        <v>0.83812441061170506</v>
      </c>
      <c r="CD59">
        <f t="shared" si="27"/>
        <v>-0.97130894160999171</v>
      </c>
    </row>
    <row r="60" spans="1:82" x14ac:dyDescent="0.25">
      <c r="A60">
        <v>39179</v>
      </c>
      <c r="B60" t="s">
        <v>366</v>
      </c>
      <c r="C60">
        <v>6.8916667909999996</v>
      </c>
      <c r="D60">
        <v>-0.47783671999999999</v>
      </c>
      <c r="E60">
        <v>0.86561030900000002</v>
      </c>
      <c r="F60">
        <v>6.2159637310000004</v>
      </c>
      <c r="G60">
        <v>0.101563036</v>
      </c>
      <c r="H60">
        <v>0.18962345899999999</v>
      </c>
      <c r="I60" s="5" t="s">
        <v>367</v>
      </c>
      <c r="J60" t="s">
        <v>436</v>
      </c>
      <c r="K60">
        <v>464</v>
      </c>
      <c r="L60">
        <v>128645</v>
      </c>
      <c r="M60">
        <v>250.13200000000001</v>
      </c>
      <c r="N60">
        <v>128643</v>
      </c>
      <c r="O60">
        <v>2E-3</v>
      </c>
      <c r="P60" t="s">
        <v>88</v>
      </c>
      <c r="Q60" t="s">
        <v>437</v>
      </c>
      <c r="R60">
        <v>109107</v>
      </c>
      <c r="S60">
        <v>3.0000000000000001E-3</v>
      </c>
      <c r="T60">
        <v>22</v>
      </c>
      <c r="U60" t="s">
        <v>43</v>
      </c>
      <c r="V60">
        <v>-1</v>
      </c>
      <c r="W60">
        <v>498</v>
      </c>
      <c r="X60">
        <v>17</v>
      </c>
      <c r="Y60">
        <v>259</v>
      </c>
      <c r="Z60">
        <v>4400</v>
      </c>
      <c r="AA60">
        <v>122593</v>
      </c>
      <c r="AB60">
        <v>832</v>
      </c>
      <c r="AC60">
        <v>46</v>
      </c>
      <c r="AD60">
        <v>128645</v>
      </c>
      <c r="AE60">
        <v>12</v>
      </c>
      <c r="AF60">
        <v>17</v>
      </c>
      <c r="AG60">
        <v>5</v>
      </c>
      <c r="AH60">
        <v>0</v>
      </c>
      <c r="AI60">
        <v>5</v>
      </c>
      <c r="AJ60">
        <v>7</v>
      </c>
      <c r="AK60">
        <v>6</v>
      </c>
      <c r="AL60">
        <v>9</v>
      </c>
      <c r="AM60">
        <v>25</v>
      </c>
      <c r="AN60">
        <v>0</v>
      </c>
      <c r="AO60">
        <v>3</v>
      </c>
      <c r="AP60">
        <v>0</v>
      </c>
      <c r="AQ60">
        <v>0</v>
      </c>
      <c r="AR60">
        <v>41</v>
      </c>
      <c r="AS60">
        <v>0</v>
      </c>
      <c r="AT60">
        <v>10</v>
      </c>
      <c r="AU60">
        <v>4</v>
      </c>
      <c r="AV60">
        <v>4</v>
      </c>
      <c r="AW60">
        <v>3</v>
      </c>
      <c r="AX60">
        <v>1</v>
      </c>
      <c r="AY60">
        <v>7</v>
      </c>
      <c r="AZ60">
        <v>28</v>
      </c>
      <c r="BA60">
        <v>6</v>
      </c>
      <c r="BB60">
        <v>1</v>
      </c>
      <c r="BC60" s="3">
        <f t="shared" ref="BC60:BZ60" si="34">AE60/AE$6*20000000</f>
        <v>135.22139968797663</v>
      </c>
      <c r="BD60" s="3">
        <f t="shared" si="34"/>
        <v>48.911418831068879</v>
      </c>
      <c r="BE60" s="3">
        <f t="shared" si="34"/>
        <v>15.847734962480487</v>
      </c>
      <c r="BF60" s="3">
        <f t="shared" si="34"/>
        <v>0</v>
      </c>
      <c r="BG60" s="3">
        <f t="shared" si="34"/>
        <v>75.04042803060149</v>
      </c>
      <c r="BH60" s="3">
        <f t="shared" si="34"/>
        <v>51.474373115670268</v>
      </c>
      <c r="BI60" s="3">
        <f t="shared" si="34"/>
        <v>21.658538698394018</v>
      </c>
      <c r="BJ60" s="3">
        <f t="shared" si="34"/>
        <v>33.837582237073995</v>
      </c>
      <c r="BK60" s="3">
        <f t="shared" si="34"/>
        <v>97.0796688185346</v>
      </c>
      <c r="BL60" s="3">
        <f t="shared" si="34"/>
        <v>0</v>
      </c>
      <c r="BM60" s="3">
        <f t="shared" si="34"/>
        <v>10.758543673321842</v>
      </c>
      <c r="BN60" s="3">
        <f t="shared" si="34"/>
        <v>0</v>
      </c>
      <c r="BO60" s="3">
        <f t="shared" si="34"/>
        <v>0</v>
      </c>
      <c r="BP60" s="3">
        <f t="shared" si="34"/>
        <v>76.377941901348763</v>
      </c>
      <c r="BQ60" s="3">
        <f t="shared" si="34"/>
        <v>0</v>
      </c>
      <c r="BR60" s="3">
        <f t="shared" si="34"/>
        <v>46.420341765124213</v>
      </c>
      <c r="BS60" s="3">
        <f t="shared" si="34"/>
        <v>23.723744116882141</v>
      </c>
      <c r="BT60" s="3">
        <f t="shared" si="34"/>
        <v>20.081258813790004</v>
      </c>
      <c r="BU60" s="3">
        <f t="shared" si="34"/>
        <v>15.502089423286103</v>
      </c>
      <c r="BV60" s="3">
        <f t="shared" si="34"/>
        <v>2.3820248592878368</v>
      </c>
      <c r="BW60" s="3">
        <f t="shared" si="34"/>
        <v>31.990808583682355</v>
      </c>
      <c r="BX60" s="3">
        <f t="shared" si="34"/>
        <v>82.712423967342772</v>
      </c>
      <c r="BY60" s="3">
        <f t="shared" si="34"/>
        <v>45.3675566016978</v>
      </c>
      <c r="BZ60" s="3">
        <f t="shared" si="34"/>
        <v>30.089214521054927</v>
      </c>
      <c r="CA60" s="15">
        <f t="shared" si="28"/>
        <v>3.2206044855106741</v>
      </c>
      <c r="CB60" s="15">
        <f t="shared" si="29"/>
        <v>2.4799032321437187</v>
      </c>
      <c r="CC60" s="15">
        <f t="shared" si="30"/>
        <v>0.9681120668733938</v>
      </c>
      <c r="CD60">
        <f t="shared" si="27"/>
        <v>-0.98102285496830566</v>
      </c>
    </row>
    <row r="61" spans="1:82" x14ac:dyDescent="0.25">
      <c r="A61">
        <v>23825</v>
      </c>
      <c r="B61" t="s">
        <v>368</v>
      </c>
      <c r="C61">
        <v>1.190264005</v>
      </c>
      <c r="D61">
        <v>-0.30024260000000003</v>
      </c>
      <c r="E61">
        <v>1.2912276229999999</v>
      </c>
      <c r="F61">
        <v>5.4580044059999997</v>
      </c>
      <c r="G61">
        <v>0.14117210699999999</v>
      </c>
      <c r="H61">
        <v>0.24161761200000001</v>
      </c>
      <c r="I61" s="5" t="s">
        <v>369</v>
      </c>
      <c r="J61" t="s">
        <v>438</v>
      </c>
      <c r="K61">
        <v>380</v>
      </c>
      <c r="L61">
        <v>1336</v>
      </c>
      <c r="M61">
        <v>2.5979999999999999</v>
      </c>
      <c r="N61">
        <v>1330</v>
      </c>
      <c r="O61">
        <v>0.96</v>
      </c>
      <c r="P61" t="s">
        <v>36</v>
      </c>
      <c r="Q61" t="s">
        <v>439</v>
      </c>
      <c r="R61">
        <v>411</v>
      </c>
      <c r="S61">
        <v>8.2000000000000003E-2</v>
      </c>
      <c r="T61">
        <v>22</v>
      </c>
      <c r="U61" t="s">
        <v>221</v>
      </c>
      <c r="V61">
        <v>-1</v>
      </c>
      <c r="W61">
        <v>7</v>
      </c>
      <c r="X61">
        <v>37</v>
      </c>
      <c r="Y61">
        <v>395</v>
      </c>
      <c r="Z61">
        <v>389</v>
      </c>
      <c r="AA61">
        <v>454</v>
      </c>
      <c r="AB61">
        <v>27</v>
      </c>
      <c r="AC61">
        <v>27</v>
      </c>
      <c r="AD61">
        <v>1336</v>
      </c>
      <c r="AE61">
        <v>3</v>
      </c>
      <c r="AF61">
        <v>13</v>
      </c>
      <c r="AG61">
        <v>2</v>
      </c>
      <c r="AH61">
        <v>0</v>
      </c>
      <c r="AI61">
        <v>0</v>
      </c>
      <c r="AJ61">
        <v>0</v>
      </c>
      <c r="AK61">
        <v>1</v>
      </c>
      <c r="AL61">
        <v>0</v>
      </c>
      <c r="AM61">
        <v>0</v>
      </c>
      <c r="AN61">
        <v>3</v>
      </c>
      <c r="AO61">
        <v>0</v>
      </c>
      <c r="AP61">
        <v>2</v>
      </c>
      <c r="AQ61">
        <v>1</v>
      </c>
      <c r="AR61">
        <v>1</v>
      </c>
      <c r="AS61">
        <v>0</v>
      </c>
      <c r="AT61">
        <v>0</v>
      </c>
      <c r="AU61">
        <v>3</v>
      </c>
      <c r="AV61">
        <v>0</v>
      </c>
      <c r="AW61">
        <v>1</v>
      </c>
      <c r="AX61">
        <v>0</v>
      </c>
      <c r="AY61">
        <v>3</v>
      </c>
      <c r="AZ61">
        <v>3</v>
      </c>
      <c r="BA61">
        <v>0</v>
      </c>
      <c r="BB61">
        <v>0</v>
      </c>
      <c r="BC61" s="3">
        <f t="shared" ref="BC61:BZ61" si="35">AE61/AE$6*20000000</f>
        <v>33.805349921994157</v>
      </c>
      <c r="BD61" s="3">
        <f t="shared" si="35"/>
        <v>37.402849694346791</v>
      </c>
      <c r="BE61" s="3">
        <f t="shared" si="35"/>
        <v>6.3390939849921946</v>
      </c>
      <c r="BF61" s="3">
        <f t="shared" si="35"/>
        <v>0</v>
      </c>
      <c r="BG61" s="3">
        <f t="shared" si="35"/>
        <v>0</v>
      </c>
      <c r="BH61" s="3">
        <f t="shared" si="35"/>
        <v>0</v>
      </c>
      <c r="BI61" s="3">
        <f t="shared" si="35"/>
        <v>3.6097564497323367</v>
      </c>
      <c r="BJ61" s="3">
        <f t="shared" si="35"/>
        <v>0</v>
      </c>
      <c r="BK61" s="3">
        <f t="shared" si="35"/>
        <v>0</v>
      </c>
      <c r="BL61" s="3">
        <f t="shared" si="35"/>
        <v>10.299649417099925</v>
      </c>
      <c r="BM61" s="3">
        <f t="shared" si="35"/>
        <v>0</v>
      </c>
      <c r="BN61" s="3">
        <f t="shared" si="35"/>
        <v>6.1594417697924033</v>
      </c>
      <c r="BO61" s="3">
        <f t="shared" si="35"/>
        <v>4.8818733114820692</v>
      </c>
      <c r="BP61" s="3">
        <f t="shared" si="35"/>
        <v>1.8628766317402137</v>
      </c>
      <c r="BQ61" s="3">
        <f t="shared" si="35"/>
        <v>0</v>
      </c>
      <c r="BR61" s="3">
        <f t="shared" si="35"/>
        <v>0</v>
      </c>
      <c r="BS61" s="3">
        <f t="shared" si="35"/>
        <v>17.792808087661605</v>
      </c>
      <c r="BT61" s="3">
        <f t="shared" si="35"/>
        <v>0</v>
      </c>
      <c r="BU61" s="3">
        <f t="shared" si="35"/>
        <v>5.1673631410953673</v>
      </c>
      <c r="BV61" s="3">
        <f t="shared" si="35"/>
        <v>0</v>
      </c>
      <c r="BW61" s="3">
        <f t="shared" si="35"/>
        <v>13.710346535863867</v>
      </c>
      <c r="BX61" s="3">
        <f t="shared" si="35"/>
        <v>8.8620454250724396</v>
      </c>
      <c r="BY61" s="3">
        <f t="shared" si="35"/>
        <v>0</v>
      </c>
      <c r="BZ61" s="3">
        <f t="shared" si="35"/>
        <v>0</v>
      </c>
      <c r="CA61" s="15">
        <f>AVERAGE(BC61,BG61,BK61,BO61,BS61,BW61)/AVERAGE($BF61,$BJ61,$BN61,$BR61,$BV61,$BZ61)</f>
        <v>11.395574547231636</v>
      </c>
      <c r="CB61" s="15">
        <f t="shared" si="29"/>
        <v>9.4858305917921832</v>
      </c>
      <c r="CC61" s="15">
        <f t="shared" si="30"/>
        <v>2.4541531750416032</v>
      </c>
      <c r="CD61">
        <f t="shared" si="27"/>
        <v>-0.94942366475272444</v>
      </c>
    </row>
    <row r="62" spans="1:82" x14ac:dyDescent="0.25">
      <c r="A62">
        <v>39865</v>
      </c>
      <c r="B62" t="s">
        <v>370</v>
      </c>
      <c r="C62">
        <v>0.98330224300000002</v>
      </c>
      <c r="D62">
        <v>-2.1384349390000001</v>
      </c>
      <c r="E62">
        <v>1.9896184349999999</v>
      </c>
      <c r="F62">
        <v>1.1771580610000001</v>
      </c>
      <c r="G62">
        <v>0.75848780299999996</v>
      </c>
      <c r="H62">
        <v>0.81986261599999999</v>
      </c>
      <c r="I62" s="5" t="s">
        <v>371</v>
      </c>
      <c r="J62" t="s">
        <v>440</v>
      </c>
      <c r="K62">
        <v>746</v>
      </c>
      <c r="L62">
        <v>9716</v>
      </c>
      <c r="M62">
        <v>18.890999999999998</v>
      </c>
      <c r="N62">
        <v>9615</v>
      </c>
      <c r="O62">
        <v>0.23100000000000001</v>
      </c>
      <c r="P62" t="s">
        <v>47</v>
      </c>
      <c r="Q62" t="s">
        <v>441</v>
      </c>
      <c r="R62">
        <v>4555</v>
      </c>
      <c r="S62">
        <v>7.2999999999999995E-2</v>
      </c>
      <c r="T62">
        <v>21</v>
      </c>
      <c r="U62" t="s">
        <v>49</v>
      </c>
      <c r="V62">
        <v>275.89999999999998</v>
      </c>
      <c r="W62">
        <v>249</v>
      </c>
      <c r="X62">
        <v>6</v>
      </c>
      <c r="Y62">
        <v>192</v>
      </c>
      <c r="Z62">
        <v>8869</v>
      </c>
      <c r="AA62">
        <v>281</v>
      </c>
      <c r="AB62">
        <v>28</v>
      </c>
      <c r="AC62">
        <v>91</v>
      </c>
      <c r="AD62">
        <v>9716</v>
      </c>
      <c r="AE62">
        <v>0</v>
      </c>
      <c r="AF62">
        <v>1</v>
      </c>
      <c r="AG62">
        <v>0</v>
      </c>
      <c r="AH62">
        <v>0</v>
      </c>
      <c r="AI62">
        <v>0</v>
      </c>
      <c r="AJ62">
        <v>0</v>
      </c>
      <c r="AK62">
        <v>0</v>
      </c>
      <c r="AL62">
        <v>7</v>
      </c>
      <c r="AM62">
        <v>2</v>
      </c>
      <c r="AN62">
        <v>2</v>
      </c>
      <c r="AO62">
        <v>0</v>
      </c>
      <c r="AP62">
        <v>0</v>
      </c>
      <c r="AQ62">
        <v>0</v>
      </c>
      <c r="AR62">
        <v>0</v>
      </c>
      <c r="AS62">
        <v>0</v>
      </c>
      <c r="AT62">
        <v>1</v>
      </c>
      <c r="AU62">
        <v>6</v>
      </c>
      <c r="AV62">
        <v>0</v>
      </c>
      <c r="AW62">
        <v>5</v>
      </c>
      <c r="AX62">
        <v>0</v>
      </c>
      <c r="AY62">
        <v>0</v>
      </c>
      <c r="AZ62">
        <v>0</v>
      </c>
      <c r="BA62">
        <v>1</v>
      </c>
      <c r="BB62">
        <v>0</v>
      </c>
      <c r="BC62" s="3">
        <f t="shared" ref="BC62:BZ62" si="36">AE62/AE$6*20000000</f>
        <v>0</v>
      </c>
      <c r="BD62" s="3">
        <f t="shared" si="36"/>
        <v>2.8771422841805223</v>
      </c>
      <c r="BE62" s="3">
        <f t="shared" si="36"/>
        <v>0</v>
      </c>
      <c r="BF62" s="3">
        <f t="shared" si="36"/>
        <v>0</v>
      </c>
      <c r="BG62" s="3">
        <f t="shared" si="36"/>
        <v>0</v>
      </c>
      <c r="BH62" s="3">
        <f t="shared" si="36"/>
        <v>0</v>
      </c>
      <c r="BI62" s="3">
        <f t="shared" si="36"/>
        <v>0</v>
      </c>
      <c r="BJ62" s="3">
        <f t="shared" si="36"/>
        <v>26.318119517724217</v>
      </c>
      <c r="BK62" s="3">
        <f t="shared" si="36"/>
        <v>7.7663735054827692</v>
      </c>
      <c r="BL62" s="3">
        <f t="shared" si="36"/>
        <v>6.8664329447332833</v>
      </c>
      <c r="BM62" s="3">
        <f t="shared" si="36"/>
        <v>0</v>
      </c>
      <c r="BN62" s="3">
        <f t="shared" si="36"/>
        <v>0</v>
      </c>
      <c r="BO62" s="3">
        <f t="shared" si="36"/>
        <v>0</v>
      </c>
      <c r="BP62" s="3">
        <f t="shared" si="36"/>
        <v>0</v>
      </c>
      <c r="BQ62" s="3">
        <f t="shared" si="36"/>
        <v>0</v>
      </c>
      <c r="BR62" s="3">
        <f t="shared" si="36"/>
        <v>4.6420341765124213</v>
      </c>
      <c r="BS62" s="3">
        <f t="shared" si="36"/>
        <v>35.58561617532321</v>
      </c>
      <c r="BT62" s="3">
        <f t="shared" si="36"/>
        <v>0</v>
      </c>
      <c r="BU62" s="3">
        <f t="shared" si="36"/>
        <v>25.836815705476837</v>
      </c>
      <c r="BV62" s="3">
        <f t="shared" si="36"/>
        <v>0</v>
      </c>
      <c r="BW62" s="3">
        <f t="shared" si="36"/>
        <v>0</v>
      </c>
      <c r="BX62" s="3">
        <f t="shared" si="36"/>
        <v>0</v>
      </c>
      <c r="BY62" s="3">
        <f t="shared" si="36"/>
        <v>7.5612594336163008</v>
      </c>
      <c r="BZ62" s="3">
        <f t="shared" si="36"/>
        <v>0</v>
      </c>
      <c r="CA62" s="15">
        <f t="shared" si="28"/>
        <v>1.4002511133811371</v>
      </c>
      <c r="CB62" s="15">
        <f t="shared" si="29"/>
        <v>0.31471339984748242</v>
      </c>
      <c r="CC62" s="15">
        <f t="shared" si="30"/>
        <v>1.0787438418081989</v>
      </c>
      <c r="CD62" s="12">
        <f t="shared" si="27"/>
        <v>-0.28829600216988926</v>
      </c>
    </row>
    <row r="63" spans="1:82" x14ac:dyDescent="0.25">
      <c r="A63">
        <v>18649</v>
      </c>
      <c r="B63" t="s">
        <v>372</v>
      </c>
      <c r="C63">
        <v>4.917858872</v>
      </c>
      <c r="D63">
        <v>-0.65366449299999996</v>
      </c>
      <c r="E63">
        <v>0.82380496000000003</v>
      </c>
      <c r="F63">
        <v>0.88271862599999995</v>
      </c>
      <c r="G63">
        <v>0.82959607199999996</v>
      </c>
      <c r="H63">
        <v>0.87396498499999997</v>
      </c>
      <c r="I63" s="5" t="s">
        <v>486</v>
      </c>
      <c r="J63" t="s">
        <v>442</v>
      </c>
      <c r="K63">
        <v>606</v>
      </c>
      <c r="L63">
        <v>764</v>
      </c>
      <c r="M63">
        <v>1.4850000000000001</v>
      </c>
      <c r="N63">
        <v>562</v>
      </c>
      <c r="O63">
        <v>0.58099999999999996</v>
      </c>
      <c r="P63" t="s">
        <v>47</v>
      </c>
      <c r="Q63" t="s">
        <v>443</v>
      </c>
      <c r="R63">
        <v>154</v>
      </c>
      <c r="S63">
        <v>0.29799999999999999</v>
      </c>
      <c r="T63">
        <v>21</v>
      </c>
      <c r="U63" t="s">
        <v>49</v>
      </c>
      <c r="V63">
        <v>22.2</v>
      </c>
      <c r="W63">
        <v>38</v>
      </c>
      <c r="X63">
        <v>21</v>
      </c>
      <c r="Y63">
        <v>32</v>
      </c>
      <c r="Z63">
        <v>588</v>
      </c>
      <c r="AA63">
        <v>49</v>
      </c>
      <c r="AB63">
        <v>16</v>
      </c>
      <c r="AC63">
        <v>20</v>
      </c>
      <c r="AD63">
        <v>764</v>
      </c>
      <c r="AE63">
        <v>9</v>
      </c>
      <c r="AF63">
        <v>2</v>
      </c>
      <c r="AG63">
        <v>11</v>
      </c>
      <c r="AH63">
        <v>1</v>
      </c>
      <c r="AI63">
        <v>0</v>
      </c>
      <c r="AJ63">
        <v>3</v>
      </c>
      <c r="AK63">
        <v>6</v>
      </c>
      <c r="AL63">
        <v>2</v>
      </c>
      <c r="AM63">
        <v>7</v>
      </c>
      <c r="AN63">
        <v>9</v>
      </c>
      <c r="AO63">
        <v>9</v>
      </c>
      <c r="AP63">
        <v>16</v>
      </c>
      <c r="AQ63">
        <v>0</v>
      </c>
      <c r="AR63">
        <v>17</v>
      </c>
      <c r="AS63">
        <v>15</v>
      </c>
      <c r="AT63">
        <v>8</v>
      </c>
      <c r="AU63">
        <v>6</v>
      </c>
      <c r="AV63">
        <v>0</v>
      </c>
      <c r="AW63">
        <v>1</v>
      </c>
      <c r="AX63">
        <v>9</v>
      </c>
      <c r="AY63">
        <v>4</v>
      </c>
      <c r="AZ63">
        <v>8</v>
      </c>
      <c r="BA63">
        <v>2</v>
      </c>
      <c r="BB63">
        <v>0</v>
      </c>
      <c r="BC63" s="3">
        <f t="shared" ref="BC63:BZ63" si="37">AE63/AE$6*20000000</f>
        <v>101.41604976598246</v>
      </c>
      <c r="BD63" s="3">
        <f t="shared" si="37"/>
        <v>5.7542845683610446</v>
      </c>
      <c r="BE63" s="3">
        <f t="shared" si="37"/>
        <v>34.865016917457076</v>
      </c>
      <c r="BF63" s="3">
        <f t="shared" si="37"/>
        <v>7.6289638188761932</v>
      </c>
      <c r="BG63" s="3">
        <f t="shared" si="37"/>
        <v>0</v>
      </c>
      <c r="BH63" s="3">
        <f t="shared" si="37"/>
        <v>22.060445621001541</v>
      </c>
      <c r="BI63" s="3">
        <f t="shared" si="37"/>
        <v>21.658538698394018</v>
      </c>
      <c r="BJ63" s="3">
        <f t="shared" si="37"/>
        <v>7.5194627193497769</v>
      </c>
      <c r="BK63" s="3">
        <f t="shared" si="37"/>
        <v>27.182307269189689</v>
      </c>
      <c r="BL63" s="3">
        <f t="shared" si="37"/>
        <v>30.898948251299771</v>
      </c>
      <c r="BM63" s="3">
        <f t="shared" si="37"/>
        <v>32.275631019965523</v>
      </c>
      <c r="BN63" s="3">
        <f t="shared" si="37"/>
        <v>49.275534158339227</v>
      </c>
      <c r="BO63" s="3">
        <f t="shared" si="37"/>
        <v>0</v>
      </c>
      <c r="BP63" s="3">
        <f t="shared" si="37"/>
        <v>31.668902739583629</v>
      </c>
      <c r="BQ63" s="3">
        <f t="shared" si="37"/>
        <v>75.16867851458673</v>
      </c>
      <c r="BR63" s="3">
        <f t="shared" si="37"/>
        <v>37.136273412099371</v>
      </c>
      <c r="BS63" s="3">
        <f t="shared" si="37"/>
        <v>35.58561617532321</v>
      </c>
      <c r="BT63" s="3">
        <f t="shared" si="37"/>
        <v>0</v>
      </c>
      <c r="BU63" s="3">
        <f t="shared" si="37"/>
        <v>5.1673631410953673</v>
      </c>
      <c r="BV63" s="3">
        <f t="shared" si="37"/>
        <v>21.438223733590529</v>
      </c>
      <c r="BW63" s="3">
        <f t="shared" si="37"/>
        <v>18.280462047818489</v>
      </c>
      <c r="BX63" s="3">
        <f t="shared" si="37"/>
        <v>23.632121133526507</v>
      </c>
      <c r="BY63" s="3">
        <f t="shared" si="37"/>
        <v>15.122518867232602</v>
      </c>
      <c r="BZ63" s="3">
        <f t="shared" si="37"/>
        <v>0</v>
      </c>
      <c r="CA63" s="15">
        <f t="shared" si="28"/>
        <v>1.483469292698967</v>
      </c>
      <c r="CB63" s="15">
        <f t="shared" si="29"/>
        <v>0.92696042140622426</v>
      </c>
      <c r="CC63" s="15">
        <f t="shared" si="30"/>
        <v>1.4980492470486171</v>
      </c>
      <c r="CD63" s="12">
        <f t="shared" si="27"/>
        <v>2.2389981035492341E-2</v>
      </c>
    </row>
    <row r="64" spans="1:82" x14ac:dyDescent="0.25">
      <c r="A64">
        <v>10225</v>
      </c>
      <c r="B64" t="s">
        <v>373</v>
      </c>
      <c r="C64">
        <v>1.7289367739999999</v>
      </c>
      <c r="D64">
        <v>0.26449815300000001</v>
      </c>
      <c r="E64">
        <v>1.1819443780000001</v>
      </c>
      <c r="F64">
        <v>0.74618960300000003</v>
      </c>
      <c r="G64">
        <v>0.86228958700000002</v>
      </c>
      <c r="H64">
        <v>0.89819972699999995</v>
      </c>
      <c r="I64" s="5" t="s">
        <v>374</v>
      </c>
      <c r="J64" t="s">
        <v>444</v>
      </c>
      <c r="K64">
        <v>283</v>
      </c>
      <c r="L64">
        <v>187</v>
      </c>
      <c r="M64">
        <v>0.36399999999999999</v>
      </c>
      <c r="N64">
        <v>16</v>
      </c>
      <c r="O64">
        <v>0.193</v>
      </c>
      <c r="P64" t="s">
        <v>47</v>
      </c>
      <c r="Q64" t="s">
        <v>445</v>
      </c>
      <c r="R64">
        <v>96</v>
      </c>
      <c r="S64">
        <v>0.16</v>
      </c>
      <c r="T64">
        <v>21</v>
      </c>
      <c r="U64" t="s">
        <v>206</v>
      </c>
      <c r="V64">
        <v>0.5</v>
      </c>
      <c r="W64">
        <v>32</v>
      </c>
      <c r="X64">
        <v>0</v>
      </c>
      <c r="Y64">
        <v>4</v>
      </c>
      <c r="Z64">
        <v>141</v>
      </c>
      <c r="AA64">
        <v>8</v>
      </c>
      <c r="AB64">
        <v>1</v>
      </c>
      <c r="AC64">
        <v>1</v>
      </c>
      <c r="AD64">
        <v>187</v>
      </c>
      <c r="AE64">
        <v>1</v>
      </c>
      <c r="AF64">
        <v>7</v>
      </c>
      <c r="AG64">
        <v>0</v>
      </c>
      <c r="AH64">
        <v>0</v>
      </c>
      <c r="AI64">
        <v>0</v>
      </c>
      <c r="AJ64">
        <v>4</v>
      </c>
      <c r="AK64">
        <v>4</v>
      </c>
      <c r="AL64">
        <v>10</v>
      </c>
      <c r="AM64">
        <v>8</v>
      </c>
      <c r="AN64">
        <v>0</v>
      </c>
      <c r="AO64">
        <v>1</v>
      </c>
      <c r="AP64">
        <v>8</v>
      </c>
      <c r="AQ64">
        <v>1</v>
      </c>
      <c r="AR64">
        <v>3</v>
      </c>
      <c r="AS64">
        <v>1</v>
      </c>
      <c r="AT64">
        <v>0</v>
      </c>
      <c r="AU64">
        <v>1</v>
      </c>
      <c r="AV64">
        <v>1</v>
      </c>
      <c r="AW64">
        <v>1</v>
      </c>
      <c r="AX64">
        <v>0</v>
      </c>
      <c r="AY64">
        <v>0</v>
      </c>
      <c r="AZ64">
        <v>5</v>
      </c>
      <c r="BA64">
        <v>1</v>
      </c>
      <c r="BB64">
        <v>0</v>
      </c>
      <c r="BC64" s="3">
        <f t="shared" ref="BC64:BZ64" si="38">AE64/AE$6*20000000</f>
        <v>11.268449973998051</v>
      </c>
      <c r="BD64" s="3">
        <f t="shared" si="38"/>
        <v>20.139995989263657</v>
      </c>
      <c r="BE64" s="3">
        <f t="shared" si="38"/>
        <v>0</v>
      </c>
      <c r="BF64" s="3">
        <f t="shared" si="38"/>
        <v>0</v>
      </c>
      <c r="BG64" s="3">
        <f t="shared" si="38"/>
        <v>0</v>
      </c>
      <c r="BH64" s="3">
        <f t="shared" si="38"/>
        <v>29.413927494668723</v>
      </c>
      <c r="BI64" s="3">
        <f t="shared" si="38"/>
        <v>14.439025798929347</v>
      </c>
      <c r="BJ64" s="3">
        <f t="shared" si="38"/>
        <v>37.597313596748883</v>
      </c>
      <c r="BK64" s="3">
        <f t="shared" si="38"/>
        <v>31.065494021931077</v>
      </c>
      <c r="BL64" s="3">
        <f t="shared" si="38"/>
        <v>0</v>
      </c>
      <c r="BM64" s="3">
        <f t="shared" si="38"/>
        <v>3.5861812244406139</v>
      </c>
      <c r="BN64" s="3">
        <f t="shared" si="38"/>
        <v>24.637767079169613</v>
      </c>
      <c r="BO64" s="3">
        <f t="shared" si="38"/>
        <v>4.8818733114820692</v>
      </c>
      <c r="BP64" s="3">
        <f t="shared" si="38"/>
        <v>5.5886298952206408</v>
      </c>
      <c r="BQ64" s="3">
        <f t="shared" si="38"/>
        <v>5.0112452343057825</v>
      </c>
      <c r="BR64" s="3">
        <f t="shared" si="38"/>
        <v>0</v>
      </c>
      <c r="BS64" s="3">
        <f t="shared" si="38"/>
        <v>5.9309360292205353</v>
      </c>
      <c r="BT64" s="3">
        <f t="shared" si="38"/>
        <v>5.0203147034475011</v>
      </c>
      <c r="BU64" s="3">
        <f t="shared" si="38"/>
        <v>5.1673631410953673</v>
      </c>
      <c r="BV64" s="3">
        <f t="shared" si="38"/>
        <v>0</v>
      </c>
      <c r="BW64" s="3">
        <f t="shared" si="38"/>
        <v>0</v>
      </c>
      <c r="BX64" s="3">
        <f t="shared" si="38"/>
        <v>14.770075708454065</v>
      </c>
      <c r="BY64" s="3">
        <f t="shared" si="38"/>
        <v>7.5612594336163008</v>
      </c>
      <c r="BZ64" s="3">
        <f t="shared" si="38"/>
        <v>0</v>
      </c>
      <c r="CA64" s="15">
        <f t="shared" si="28"/>
        <v>0.85396777443556127</v>
      </c>
      <c r="CB64" s="15">
        <f t="shared" si="29"/>
        <v>1.204030636374662</v>
      </c>
      <c r="CC64" s="15">
        <f t="shared" si="30"/>
        <v>0.57467708636274817</v>
      </c>
      <c r="CD64" s="12">
        <f t="shared" ref="CD64" si="39">PEARSON($CA$6:$CC$6,CA64:CC64)</f>
        <v>-0.44284157044021238</v>
      </c>
    </row>
    <row r="65" spans="1:82" x14ac:dyDescent="0.25">
      <c r="A65">
        <v>38490</v>
      </c>
      <c r="B65" t="s">
        <v>375</v>
      </c>
      <c r="C65">
        <v>0.19856328600000001</v>
      </c>
      <c r="D65">
        <v>-0.40659904800000002</v>
      </c>
      <c r="E65">
        <v>3.5136206030000001</v>
      </c>
      <c r="F65">
        <v>0.46798821699999998</v>
      </c>
      <c r="G65">
        <v>0.92586582500000003</v>
      </c>
      <c r="H65" t="s">
        <v>157</v>
      </c>
      <c r="I65" s="5" t="s">
        <v>376</v>
      </c>
      <c r="J65" t="s">
        <v>446</v>
      </c>
      <c r="K65">
        <v>1918</v>
      </c>
      <c r="L65">
        <v>1100</v>
      </c>
      <c r="M65">
        <v>2.1389999999999998</v>
      </c>
      <c r="N65">
        <v>1094</v>
      </c>
      <c r="O65">
        <v>0.71</v>
      </c>
      <c r="P65" t="s">
        <v>47</v>
      </c>
      <c r="Q65" t="s">
        <v>447</v>
      </c>
      <c r="R65">
        <v>178</v>
      </c>
      <c r="S65">
        <v>0.29799999999999999</v>
      </c>
      <c r="T65">
        <v>21</v>
      </c>
      <c r="U65" t="s">
        <v>49</v>
      </c>
      <c r="V65">
        <v>21.2</v>
      </c>
      <c r="W65">
        <v>9</v>
      </c>
      <c r="X65">
        <v>1</v>
      </c>
      <c r="Y65">
        <v>24</v>
      </c>
      <c r="Z65">
        <v>862</v>
      </c>
      <c r="AA65">
        <v>25</v>
      </c>
      <c r="AB65">
        <v>15</v>
      </c>
      <c r="AC65">
        <v>164</v>
      </c>
      <c r="AD65">
        <v>1100</v>
      </c>
      <c r="AE65">
        <v>0</v>
      </c>
      <c r="AF65">
        <v>1</v>
      </c>
      <c r="AG65">
        <v>0</v>
      </c>
      <c r="AH65">
        <v>0</v>
      </c>
      <c r="AI65">
        <v>0</v>
      </c>
      <c r="AJ65">
        <v>1</v>
      </c>
      <c r="AK65">
        <v>0</v>
      </c>
      <c r="AL65">
        <v>0</v>
      </c>
      <c r="AM65">
        <v>0</v>
      </c>
      <c r="AN65">
        <v>0</v>
      </c>
      <c r="AO65">
        <v>0</v>
      </c>
      <c r="AP65">
        <v>0</v>
      </c>
      <c r="AQ65">
        <v>0</v>
      </c>
      <c r="AR65">
        <v>0</v>
      </c>
      <c r="AS65">
        <v>0</v>
      </c>
      <c r="AT65">
        <v>0</v>
      </c>
      <c r="AU65">
        <v>0</v>
      </c>
      <c r="AV65">
        <v>1</v>
      </c>
      <c r="AW65">
        <v>0</v>
      </c>
      <c r="AX65">
        <v>0</v>
      </c>
      <c r="AY65">
        <v>2</v>
      </c>
      <c r="AZ65">
        <v>0</v>
      </c>
      <c r="BA65">
        <v>0</v>
      </c>
      <c r="BB65">
        <v>0</v>
      </c>
      <c r="BC65" s="3">
        <f t="shared" ref="BC65:BZ65" si="40">AE65/AE$6*20000000</f>
        <v>0</v>
      </c>
      <c r="BD65" s="3">
        <f t="shared" si="40"/>
        <v>2.8771422841805223</v>
      </c>
      <c r="BE65" s="3">
        <f t="shared" si="40"/>
        <v>0</v>
      </c>
      <c r="BF65" s="3">
        <f t="shared" si="40"/>
        <v>0</v>
      </c>
      <c r="BG65" s="3">
        <f t="shared" si="40"/>
        <v>0</v>
      </c>
      <c r="BH65" s="3">
        <f t="shared" si="40"/>
        <v>7.3534818736671808</v>
      </c>
      <c r="BI65" s="3">
        <f t="shared" si="40"/>
        <v>0</v>
      </c>
      <c r="BJ65" s="3">
        <f t="shared" si="40"/>
        <v>0</v>
      </c>
      <c r="BK65" s="3">
        <f t="shared" si="40"/>
        <v>0</v>
      </c>
      <c r="BL65" s="3">
        <f t="shared" si="40"/>
        <v>0</v>
      </c>
      <c r="BM65" s="3">
        <f t="shared" si="40"/>
        <v>0</v>
      </c>
      <c r="BN65" s="3">
        <f t="shared" si="40"/>
        <v>0</v>
      </c>
      <c r="BO65" s="3">
        <f t="shared" si="40"/>
        <v>0</v>
      </c>
      <c r="BP65" s="3">
        <f t="shared" si="40"/>
        <v>0</v>
      </c>
      <c r="BQ65" s="3">
        <f t="shared" si="40"/>
        <v>0</v>
      </c>
      <c r="BR65" s="3">
        <f t="shared" si="40"/>
        <v>0</v>
      </c>
      <c r="BS65" s="3">
        <f t="shared" si="40"/>
        <v>0</v>
      </c>
      <c r="BT65" s="3">
        <f t="shared" si="40"/>
        <v>5.0203147034475011</v>
      </c>
      <c r="BU65" s="3">
        <f t="shared" si="40"/>
        <v>0</v>
      </c>
      <c r="BV65" s="3">
        <f t="shared" si="40"/>
        <v>0</v>
      </c>
      <c r="BW65" s="3">
        <f t="shared" si="40"/>
        <v>9.1402310239092444</v>
      </c>
      <c r="BX65" s="3">
        <f t="shared" si="40"/>
        <v>0</v>
      </c>
      <c r="BY65" s="3">
        <f t="shared" si="40"/>
        <v>0</v>
      </c>
      <c r="BZ65" s="3">
        <f t="shared" si="40"/>
        <v>0</v>
      </c>
      <c r="CA65" s="15">
        <f>AVERAGE(BC65,BG65,BK65,BO65,BS65,BW65)/0.1</f>
        <v>15.233718373182073</v>
      </c>
      <c r="CB65" s="15">
        <f>AVERAGE(BD65,BH65,BL65,BP65,BT65,BX65)/0.1</f>
        <v>25.418231435492004</v>
      </c>
      <c r="CC65" s="15">
        <f>AVERAGE(BE65,BI65,BM65,BQ65,BU65,BY65)/1</f>
        <v>0</v>
      </c>
      <c r="CD65" s="12">
        <f t="shared" si="27"/>
        <v>-0.59541944683193426</v>
      </c>
    </row>
    <row r="66" spans="1:82" x14ac:dyDescent="0.25">
      <c r="A66">
        <v>24662</v>
      </c>
      <c r="B66" t="s">
        <v>33</v>
      </c>
      <c r="C66">
        <v>8.4846705999999994E-2</v>
      </c>
      <c r="D66">
        <v>0.35532904500000001</v>
      </c>
      <c r="E66">
        <v>4.2355487119999999</v>
      </c>
      <c r="F66">
        <v>-0.30695765600000002</v>
      </c>
      <c r="G66">
        <v>1</v>
      </c>
      <c r="H66" t="s">
        <v>157</v>
      </c>
      <c r="I66" s="5" t="s">
        <v>34</v>
      </c>
      <c r="J66" t="s">
        <v>35</v>
      </c>
      <c r="K66">
        <v>101</v>
      </c>
      <c r="L66">
        <v>15142</v>
      </c>
      <c r="M66">
        <v>29.440999999999999</v>
      </c>
      <c r="N66">
        <v>18</v>
      </c>
      <c r="O66">
        <v>0.95899999999999996</v>
      </c>
      <c r="P66" t="s">
        <v>36</v>
      </c>
      <c r="Q66" t="s">
        <v>37</v>
      </c>
      <c r="R66">
        <v>13742</v>
      </c>
      <c r="S66">
        <v>8.9999999999999993E-3</v>
      </c>
      <c r="T66">
        <v>22</v>
      </c>
      <c r="U66" t="s">
        <v>38</v>
      </c>
      <c r="V66">
        <v>-1</v>
      </c>
      <c r="W66">
        <v>265</v>
      </c>
      <c r="X66">
        <v>3</v>
      </c>
      <c r="Y66">
        <v>32</v>
      </c>
      <c r="Z66">
        <v>153</v>
      </c>
      <c r="AA66">
        <v>14495</v>
      </c>
      <c r="AB66">
        <v>171</v>
      </c>
      <c r="AC66">
        <v>23</v>
      </c>
      <c r="AD66">
        <v>15142</v>
      </c>
      <c r="AE66">
        <v>0</v>
      </c>
      <c r="AF66">
        <v>1</v>
      </c>
      <c r="AG66">
        <v>0</v>
      </c>
      <c r="AH66">
        <v>0</v>
      </c>
      <c r="AI66">
        <v>0</v>
      </c>
      <c r="AJ66">
        <v>1</v>
      </c>
      <c r="AK66">
        <v>0</v>
      </c>
      <c r="AL66">
        <v>0</v>
      </c>
      <c r="AM66">
        <v>0</v>
      </c>
      <c r="AN66">
        <v>0</v>
      </c>
      <c r="AO66">
        <v>0</v>
      </c>
      <c r="AP66">
        <v>0</v>
      </c>
      <c r="AQ66">
        <v>0</v>
      </c>
      <c r="AR66">
        <v>1</v>
      </c>
      <c r="AS66">
        <v>0</v>
      </c>
      <c r="AT66">
        <v>0</v>
      </c>
      <c r="AU66">
        <v>0</v>
      </c>
      <c r="AV66">
        <v>0</v>
      </c>
      <c r="AW66">
        <v>0</v>
      </c>
      <c r="AX66">
        <v>0</v>
      </c>
      <c r="AY66">
        <v>0</v>
      </c>
      <c r="AZ66">
        <v>0</v>
      </c>
      <c r="BA66">
        <v>0</v>
      </c>
      <c r="BB66">
        <v>0</v>
      </c>
      <c r="BC66" s="3">
        <f t="shared" ref="BC66:BZ66" si="41">AE66/AE$6*20000000</f>
        <v>0</v>
      </c>
      <c r="BD66" s="3">
        <f t="shared" si="41"/>
        <v>2.8771422841805223</v>
      </c>
      <c r="BE66" s="3">
        <f t="shared" si="41"/>
        <v>0</v>
      </c>
      <c r="BF66" s="3">
        <f t="shared" si="41"/>
        <v>0</v>
      </c>
      <c r="BG66" s="3">
        <f t="shared" si="41"/>
        <v>0</v>
      </c>
      <c r="BH66" s="3">
        <f t="shared" si="41"/>
        <v>7.3534818736671808</v>
      </c>
      <c r="BI66" s="3">
        <f t="shared" si="41"/>
        <v>0</v>
      </c>
      <c r="BJ66" s="3">
        <f t="shared" si="41"/>
        <v>0</v>
      </c>
      <c r="BK66" s="3">
        <f t="shared" si="41"/>
        <v>0</v>
      </c>
      <c r="BL66" s="3">
        <f t="shared" si="41"/>
        <v>0</v>
      </c>
      <c r="BM66" s="3">
        <f t="shared" si="41"/>
        <v>0</v>
      </c>
      <c r="BN66" s="3">
        <f t="shared" si="41"/>
        <v>0</v>
      </c>
      <c r="BO66" s="3">
        <f t="shared" si="41"/>
        <v>0</v>
      </c>
      <c r="BP66" s="3">
        <f t="shared" si="41"/>
        <v>1.8628766317402137</v>
      </c>
      <c r="BQ66" s="3">
        <f t="shared" si="41"/>
        <v>0</v>
      </c>
      <c r="BR66" s="3">
        <f t="shared" si="41"/>
        <v>0</v>
      </c>
      <c r="BS66" s="3">
        <f t="shared" si="41"/>
        <v>0</v>
      </c>
      <c r="BT66" s="3">
        <f t="shared" si="41"/>
        <v>0</v>
      </c>
      <c r="BU66" s="3">
        <f t="shared" si="41"/>
        <v>0</v>
      </c>
      <c r="BV66" s="3">
        <f t="shared" si="41"/>
        <v>0</v>
      </c>
      <c r="BW66" s="3">
        <f t="shared" si="41"/>
        <v>0</v>
      </c>
      <c r="BX66" s="3">
        <f t="shared" si="41"/>
        <v>0</v>
      </c>
      <c r="BY66" s="3">
        <f t="shared" si="41"/>
        <v>0</v>
      </c>
      <c r="BZ66" s="3">
        <f t="shared" si="41"/>
        <v>0</v>
      </c>
      <c r="CA66" s="15">
        <f>AVERAGE(BC66,BG66,BK66,BO66,BS66,BW66)/0.1</f>
        <v>0</v>
      </c>
      <c r="CB66" s="15">
        <f>AVERAGE(BD66,BH66,BL66,BP66,BT66,BX66)/0.1</f>
        <v>20.155834649313196</v>
      </c>
      <c r="CC66" s="15">
        <f>AVERAGE(BE66,BI66,BM66,BQ66,BU66,BY66)/1</f>
        <v>0</v>
      </c>
      <c r="CD66" s="12">
        <f t="shared" ref="CD66" si="42">PEARSON($CA$6:$CC$6,CA66:CC66)</f>
        <v>0</v>
      </c>
    </row>
    <row r="67" spans="1:82" x14ac:dyDescent="0.25">
      <c r="A67">
        <v>16028</v>
      </c>
      <c r="B67" t="s">
        <v>44</v>
      </c>
      <c r="C67">
        <v>6840.2971349999998</v>
      </c>
      <c r="D67">
        <v>0.17296401</v>
      </c>
      <c r="E67">
        <v>0.25497789700000001</v>
      </c>
      <c r="F67">
        <v>0.67834903300000005</v>
      </c>
      <c r="G67">
        <v>0.497550416</v>
      </c>
      <c r="H67">
        <v>0.98687870499999997</v>
      </c>
      <c r="I67" t="s">
        <v>748</v>
      </c>
      <c r="J67" t="s">
        <v>46</v>
      </c>
      <c r="K67">
        <v>1554</v>
      </c>
      <c r="L67">
        <v>1470615</v>
      </c>
      <c r="M67">
        <v>2859.3969999999999</v>
      </c>
      <c r="N67">
        <v>1287301</v>
      </c>
      <c r="O67">
        <v>0.39100000000000001</v>
      </c>
      <c r="P67" t="s">
        <v>47</v>
      </c>
      <c r="Q67" t="s">
        <v>48</v>
      </c>
      <c r="R67">
        <v>143659</v>
      </c>
      <c r="S67">
        <v>1.0999999999999999E-2</v>
      </c>
      <c r="T67">
        <v>21</v>
      </c>
      <c r="U67" t="s">
        <v>49</v>
      </c>
      <c r="V67">
        <v>1736.6</v>
      </c>
      <c r="W67">
        <v>18099</v>
      </c>
      <c r="X67">
        <v>7712</v>
      </c>
      <c r="Y67">
        <v>62902</v>
      </c>
      <c r="Z67">
        <v>1063241</v>
      </c>
      <c r="AA67">
        <v>230705</v>
      </c>
      <c r="AB67">
        <v>31348</v>
      </c>
      <c r="AC67">
        <v>56608</v>
      </c>
      <c r="AD67">
        <v>1470615</v>
      </c>
      <c r="AE67">
        <v>3403</v>
      </c>
      <c r="AF67">
        <v>13145</v>
      </c>
      <c r="AG67">
        <v>14029</v>
      </c>
      <c r="AH67">
        <v>1830</v>
      </c>
      <c r="AI67">
        <v>733</v>
      </c>
      <c r="AJ67">
        <v>7544</v>
      </c>
      <c r="AK67">
        <v>15892</v>
      </c>
      <c r="AL67">
        <v>19275</v>
      </c>
      <c r="AM67">
        <v>15516</v>
      </c>
      <c r="AN67">
        <v>3550</v>
      </c>
      <c r="AO67">
        <v>6252</v>
      </c>
      <c r="AP67">
        <v>20814</v>
      </c>
      <c r="AQ67">
        <v>6358</v>
      </c>
      <c r="AR67">
        <v>32809</v>
      </c>
      <c r="AS67">
        <v>7594</v>
      </c>
      <c r="AT67">
        <v>5782</v>
      </c>
      <c r="AU67">
        <v>3587</v>
      </c>
      <c r="AV67">
        <v>5373</v>
      </c>
      <c r="AW67">
        <v>7954</v>
      </c>
      <c r="AX67">
        <v>6292</v>
      </c>
      <c r="AY67">
        <v>7789</v>
      </c>
      <c r="AZ67">
        <v>10657</v>
      </c>
      <c r="BA67">
        <v>3983</v>
      </c>
      <c r="BB67">
        <v>637</v>
      </c>
      <c r="BC67" s="3">
        <f t="shared" ref="BC67:BC68" si="43">AE67/AE$6*20000000</f>
        <v>38346.535261515375</v>
      </c>
      <c r="BD67" s="3">
        <f t="shared" ref="BD67:BD68" si="44">AF67/AF$6*20000000</f>
        <v>37820.03532555297</v>
      </c>
      <c r="BE67" s="3">
        <f t="shared" ref="BE67:BE68" si="45">AG67/AG$6*20000000</f>
        <v>44465.574757727751</v>
      </c>
      <c r="BF67" s="3">
        <f t="shared" ref="BF67:BF68" si="46">AH67/AH$6*20000000</f>
        <v>13961.003788543432</v>
      </c>
      <c r="BG67" s="3">
        <f t="shared" ref="BG67:BG68" si="47">AI67/AI$6*20000000</f>
        <v>11000.926749286178</v>
      </c>
      <c r="BH67" s="3">
        <f t="shared" ref="BH67:BH68" si="48">AJ67/AJ$6*20000000</f>
        <v>55474.667254945212</v>
      </c>
      <c r="BI67" s="3">
        <f t="shared" ref="BI67:BI68" si="49">AK67/AK$6*20000000</f>
        <v>57366.249499146295</v>
      </c>
      <c r="BJ67" s="3">
        <f t="shared" ref="BJ67:BJ68" si="50">AL67/AL$6*20000000</f>
        <v>72468.821957733482</v>
      </c>
      <c r="BK67" s="3">
        <f t="shared" ref="BK67:BK68" si="51">AM67/AM$6*20000000</f>
        <v>60251.525655535319</v>
      </c>
      <c r="BL67" s="3">
        <f t="shared" ref="BL67:BL68" si="52">AN67/AN$6*20000000</f>
        <v>12187.918476901577</v>
      </c>
      <c r="BM67" s="3">
        <f t="shared" ref="BM67:BM68" si="53">AO67/AO$6*20000000</f>
        <v>22420.805015202721</v>
      </c>
      <c r="BN67" s="3">
        <f t="shared" ref="BN67:BN68" si="54">AP67/AP$6*20000000</f>
        <v>64101.310498229541</v>
      </c>
      <c r="BO67" s="3">
        <f t="shared" ref="BO67:BO68" si="55">AQ67/AQ$6*20000000</f>
        <v>31038.950514402994</v>
      </c>
      <c r="BP67" s="3">
        <f t="shared" ref="BP67:BP68" si="56">AR67/AR$6*20000000</f>
        <v>61119.119410764673</v>
      </c>
      <c r="BQ67" s="3">
        <f t="shared" ref="BQ67:BQ68" si="57">AS67/AS$6*20000000</f>
        <v>38055.396309318108</v>
      </c>
      <c r="BR67" s="3">
        <f t="shared" ref="BR67:BR68" si="58">AT67/AT$6*20000000</f>
        <v>26840.241608594821</v>
      </c>
      <c r="BS67" s="3">
        <f t="shared" ref="BS67:BS68" si="59">AU67/AU$6*20000000</f>
        <v>21274.267536814063</v>
      </c>
      <c r="BT67" s="3">
        <f t="shared" ref="BT67" si="60">AV67/AV$6*20000000</f>
        <v>26974.150901623419</v>
      </c>
      <c r="BU67" s="3">
        <f t="shared" ref="BU67:BU68" si="61">AW67/AW$6*20000000</f>
        <v>41101.206424272554</v>
      </c>
      <c r="BV67" s="3">
        <f t="shared" ref="BV67:BV68" si="62">AX67/AX$6*20000000</f>
        <v>14987.700414639066</v>
      </c>
      <c r="BW67" s="3">
        <f t="shared" ref="BW67" si="63">AY67/AY$6*20000000</f>
        <v>35596.629722614554</v>
      </c>
      <c r="BX67" s="3">
        <f t="shared" ref="BX67" si="64">AZ67/AZ$6*20000000</f>
        <v>31480.939364998994</v>
      </c>
      <c r="BY67" s="3">
        <f t="shared" ref="BY67" si="65">BA67/BA$6*20000000</f>
        <v>30116.496324093725</v>
      </c>
      <c r="BZ67" s="3">
        <f t="shared" ref="BZ67" si="66">BB67/BB$6*20000000</f>
        <v>19166.82964991199</v>
      </c>
      <c r="CA67" s="15">
        <f>AVERAGE(BC67,BG67,BK67,BO67,BS67,BW67)/AVERAGE($BF67,$BJ67,$BN67,$BR67,$BV67,$BZ67)</f>
        <v>0.93373354301856615</v>
      </c>
      <c r="CB67" s="15">
        <f t="shared" ref="CB67" si="67">AVERAGE(BD67,BH67,BL67,BP67,BT67,BX67)/AVERAGE($BF67,$BJ67,$BN67,$BR67,$BV67,$BZ67)</f>
        <v>1.0639681585595755</v>
      </c>
      <c r="CC67" s="15">
        <f t="shared" ref="CC67" si="68">AVERAGE(BE67,BI67,BM67,BQ67,BU67,BY67)/AVERAGE($BF67,$BJ67,$BN67,$BR67,$BV67,$BZ67)</f>
        <v>1.1040053231714455</v>
      </c>
      <c r="CD67" s="11">
        <f>PEARSON($CA$6:$CC$6,CA67:CC67)</f>
        <v>0.9562761487465451</v>
      </c>
    </row>
    <row r="68" spans="1:82" x14ac:dyDescent="0.25">
      <c r="I68" s="5"/>
      <c r="BC68" s="3">
        <f t="shared" si="43"/>
        <v>0</v>
      </c>
      <c r="BD68" s="3">
        <f t="shared" si="44"/>
        <v>0</v>
      </c>
      <c r="BE68" s="3">
        <f t="shared" si="45"/>
        <v>0</v>
      </c>
      <c r="BF68" s="3">
        <f t="shared" si="46"/>
        <v>0</v>
      </c>
      <c r="BG68" s="3">
        <f t="shared" si="47"/>
        <v>0</v>
      </c>
      <c r="BH68" s="3">
        <f t="shared" si="48"/>
        <v>0</v>
      </c>
      <c r="BI68" s="3">
        <f t="shared" si="49"/>
        <v>0</v>
      </c>
      <c r="BJ68" s="3">
        <f t="shared" si="50"/>
        <v>0</v>
      </c>
      <c r="BK68" s="3">
        <f t="shared" si="51"/>
        <v>0</v>
      </c>
      <c r="BL68" s="3">
        <f t="shared" si="52"/>
        <v>0</v>
      </c>
      <c r="BM68" s="3">
        <f t="shared" si="53"/>
        <v>0</v>
      </c>
      <c r="BN68" s="3">
        <f t="shared" si="54"/>
        <v>0</v>
      </c>
      <c r="BO68" s="3">
        <f t="shared" si="55"/>
        <v>0</v>
      </c>
      <c r="BP68" s="3">
        <f t="shared" si="56"/>
        <v>0</v>
      </c>
      <c r="BQ68" s="3">
        <f t="shared" si="57"/>
        <v>0</v>
      </c>
      <c r="BR68" s="3">
        <f t="shared" si="58"/>
        <v>0</v>
      </c>
      <c r="BS68" s="3">
        <f t="shared" si="59"/>
        <v>0</v>
      </c>
      <c r="BT68" t="s">
        <v>481</v>
      </c>
      <c r="BU68" s="3">
        <f t="shared" si="61"/>
        <v>0</v>
      </c>
      <c r="BV68" s="3">
        <f t="shared" si="62"/>
        <v>0</v>
      </c>
      <c r="BW68" s="9">
        <f>BW58/BS58</f>
        <v>4.9560373535868969</v>
      </c>
      <c r="BX68" s="9">
        <f t="shared" ref="BX68:BZ68" si="69">BX58/BT58</f>
        <v>7.0215329456778779</v>
      </c>
      <c r="BY68" s="9">
        <f t="shared" si="69"/>
        <v>6.2132793746349879</v>
      </c>
      <c r="BZ68" s="9">
        <f t="shared" si="69"/>
        <v>2.9528836897504998</v>
      </c>
    </row>
    <row r="69" spans="1:82" ht="15.75" thickBot="1" x14ac:dyDescent="0.3"/>
    <row r="70" spans="1:82" ht="47.25" customHeight="1" thickBot="1" x14ac:dyDescent="0.3">
      <c r="A70" s="59" t="s">
        <v>742</v>
      </c>
      <c r="B70" s="60"/>
      <c r="C70" s="60"/>
      <c r="D70" s="60"/>
      <c r="E70" s="60"/>
      <c r="F70" s="60"/>
      <c r="G70" s="60"/>
      <c r="H70" s="61"/>
    </row>
    <row r="71" spans="1:82" ht="65.25" thickBot="1" x14ac:dyDescent="0.3">
      <c r="A71" s="23" t="s">
        <v>648</v>
      </c>
      <c r="B71" s="25" t="s">
        <v>649</v>
      </c>
      <c r="C71" s="26" t="s">
        <v>505</v>
      </c>
      <c r="D71" s="25" t="s">
        <v>506</v>
      </c>
      <c r="E71" s="25" t="s">
        <v>533</v>
      </c>
      <c r="F71" s="25" t="s">
        <v>534</v>
      </c>
      <c r="G71" s="25" t="s">
        <v>650</v>
      </c>
      <c r="H71" s="26" t="s">
        <v>651</v>
      </c>
    </row>
    <row r="72" spans="1:82" ht="35.25" customHeight="1" x14ac:dyDescent="0.25">
      <c r="A72" s="99" t="s">
        <v>321</v>
      </c>
      <c r="B72" s="101">
        <v>-1.87</v>
      </c>
      <c r="C72" s="103">
        <v>6.8799999999999998E-11</v>
      </c>
      <c r="D72" s="56" t="s">
        <v>652</v>
      </c>
      <c r="E72" s="99"/>
      <c r="F72" s="105"/>
      <c r="G72" s="105">
        <v>-0.97</v>
      </c>
      <c r="H72" s="107">
        <v>2E-8</v>
      </c>
    </row>
    <row r="73" spans="1:82" ht="15.75" thickBot="1" x14ac:dyDescent="0.3">
      <c r="A73" s="100"/>
      <c r="B73" s="102"/>
      <c r="C73" s="104"/>
      <c r="D73" s="58"/>
      <c r="E73" s="100"/>
      <c r="F73" s="106"/>
      <c r="G73" s="106"/>
      <c r="H73" s="108"/>
    </row>
    <row r="74" spans="1:82" x14ac:dyDescent="0.25">
      <c r="A74" s="99" t="s">
        <v>159</v>
      </c>
      <c r="B74" s="101">
        <v>-1.79</v>
      </c>
      <c r="C74" s="103">
        <v>5.0999999999999999E-7</v>
      </c>
      <c r="D74" s="56" t="s">
        <v>653</v>
      </c>
      <c r="E74" s="56"/>
      <c r="F74" s="62"/>
      <c r="G74" s="105">
        <v>-0.96</v>
      </c>
      <c r="H74" s="105"/>
    </row>
    <row r="75" spans="1:82" ht="15.75" thickBot="1" x14ac:dyDescent="0.3">
      <c r="A75" s="100"/>
      <c r="B75" s="102"/>
      <c r="C75" s="104"/>
      <c r="D75" s="58"/>
      <c r="E75" s="58"/>
      <c r="F75" s="63"/>
      <c r="G75" s="106"/>
      <c r="H75" s="106"/>
    </row>
    <row r="76" spans="1:82" x14ac:dyDescent="0.25">
      <c r="A76" s="99" t="s">
        <v>327</v>
      </c>
      <c r="B76" s="101">
        <v>-0.31</v>
      </c>
      <c r="C76" s="103">
        <v>1.1400000000000001E-6</v>
      </c>
      <c r="D76" s="56" t="s">
        <v>654</v>
      </c>
      <c r="E76" s="56"/>
      <c r="F76" s="62"/>
      <c r="G76" s="105">
        <v>-0.93</v>
      </c>
      <c r="H76" s="105">
        <v>0.02</v>
      </c>
    </row>
    <row r="77" spans="1:82" ht="15.75" thickBot="1" x14ac:dyDescent="0.3">
      <c r="A77" s="100"/>
      <c r="B77" s="102"/>
      <c r="C77" s="104"/>
      <c r="D77" s="58"/>
      <c r="E77" s="58"/>
      <c r="F77" s="63"/>
      <c r="G77" s="106"/>
      <c r="H77" s="106"/>
    </row>
    <row r="78" spans="1:82" ht="25.5" x14ac:dyDescent="0.25">
      <c r="A78" s="42" t="s">
        <v>655</v>
      </c>
      <c r="B78" s="109">
        <v>1.45</v>
      </c>
      <c r="C78" s="103">
        <v>6.2500000000000003E-6</v>
      </c>
      <c r="D78" s="56" t="s">
        <v>612</v>
      </c>
      <c r="E78" s="99"/>
      <c r="F78" s="105"/>
      <c r="G78" s="105"/>
      <c r="H78" s="105"/>
    </row>
    <row r="79" spans="1:82" ht="15.75" thickBot="1" x14ac:dyDescent="0.3">
      <c r="A79" s="46" t="s">
        <v>656</v>
      </c>
      <c r="B79" s="110"/>
      <c r="C79" s="104"/>
      <c r="D79" s="58"/>
      <c r="E79" s="100"/>
      <c r="F79" s="106"/>
      <c r="G79" s="106"/>
      <c r="H79" s="106"/>
    </row>
    <row r="80" spans="1:82" ht="22.5" customHeight="1" x14ac:dyDescent="0.25">
      <c r="A80" s="99" t="s">
        <v>657</v>
      </c>
      <c r="B80" s="101">
        <v>-1.2</v>
      </c>
      <c r="C80" s="103">
        <v>4.3600000000000003E-5</v>
      </c>
      <c r="D80" s="56" t="s">
        <v>658</v>
      </c>
      <c r="E80" s="56"/>
      <c r="F80" s="62"/>
      <c r="G80" s="105">
        <v>-0.97</v>
      </c>
      <c r="H80" s="105"/>
    </row>
    <row r="81" spans="1:8" ht="15.75" thickBot="1" x14ac:dyDescent="0.3">
      <c r="A81" s="100"/>
      <c r="B81" s="102"/>
      <c r="C81" s="104"/>
      <c r="D81" s="58"/>
      <c r="E81" s="58"/>
      <c r="F81" s="63"/>
      <c r="G81" s="106"/>
      <c r="H81" s="106"/>
    </row>
    <row r="82" spans="1:8" x14ac:dyDescent="0.25">
      <c r="A82" s="99" t="s">
        <v>333</v>
      </c>
      <c r="B82" s="101">
        <v>-0.3</v>
      </c>
      <c r="C82" s="103">
        <v>4.3800000000000001E-5</v>
      </c>
      <c r="D82" s="56" t="s">
        <v>659</v>
      </c>
      <c r="E82" s="56"/>
      <c r="F82" s="62"/>
      <c r="G82" s="105">
        <v>-0.95</v>
      </c>
      <c r="H82" s="105"/>
    </row>
    <row r="83" spans="1:8" ht="15.75" thickBot="1" x14ac:dyDescent="0.3">
      <c r="A83" s="100"/>
      <c r="B83" s="102"/>
      <c r="C83" s="104"/>
      <c r="D83" s="58"/>
      <c r="E83" s="58"/>
      <c r="F83" s="63"/>
      <c r="G83" s="106"/>
      <c r="H83" s="106"/>
    </row>
    <row r="84" spans="1:8" ht="22.5" customHeight="1" x14ac:dyDescent="0.25">
      <c r="A84" s="99" t="s">
        <v>257</v>
      </c>
      <c r="B84" s="101">
        <v>-1.18</v>
      </c>
      <c r="C84" s="103">
        <v>4.3800000000000001E-5</v>
      </c>
      <c r="D84" s="56" t="s">
        <v>660</v>
      </c>
      <c r="E84" s="56"/>
      <c r="F84" s="62"/>
      <c r="G84" s="105">
        <v>-0.93</v>
      </c>
      <c r="H84" s="105" t="s">
        <v>661</v>
      </c>
    </row>
    <row r="85" spans="1:8" ht="15.75" thickBot="1" x14ac:dyDescent="0.3">
      <c r="A85" s="100"/>
      <c r="B85" s="102"/>
      <c r="C85" s="104"/>
      <c r="D85" s="58"/>
      <c r="E85" s="58"/>
      <c r="F85" s="63"/>
      <c r="G85" s="106"/>
      <c r="H85" s="106"/>
    </row>
    <row r="86" spans="1:8" x14ac:dyDescent="0.25">
      <c r="A86" s="99" t="s">
        <v>335</v>
      </c>
      <c r="B86" s="101">
        <v>-0.97</v>
      </c>
      <c r="C86" s="101">
        <v>1.4999999999999999E-4</v>
      </c>
      <c r="D86" s="56" t="s">
        <v>662</v>
      </c>
      <c r="E86" s="56"/>
      <c r="F86" s="62"/>
      <c r="G86" s="105">
        <v>-0.95</v>
      </c>
      <c r="H86" s="105"/>
    </row>
    <row r="87" spans="1:8" x14ac:dyDescent="0.25">
      <c r="A87" s="112"/>
      <c r="B87" s="113"/>
      <c r="C87" s="113"/>
      <c r="D87" s="57"/>
      <c r="E87" s="57"/>
      <c r="F87" s="114"/>
      <c r="G87" s="111"/>
      <c r="H87" s="111"/>
    </row>
    <row r="88" spans="1:8" ht="15.75" thickBot="1" x14ac:dyDescent="0.3">
      <c r="A88" s="100"/>
      <c r="B88" s="102"/>
      <c r="C88" s="102"/>
      <c r="D88" s="58"/>
      <c r="E88" s="58"/>
      <c r="F88" s="63"/>
      <c r="G88" s="106"/>
      <c r="H88" s="106"/>
    </row>
    <row r="89" spans="1:8" ht="39" thickBot="1" x14ac:dyDescent="0.3">
      <c r="A89" s="46" t="s">
        <v>489</v>
      </c>
      <c r="B89" s="48">
        <v>-2.39</v>
      </c>
      <c r="C89" s="48">
        <v>2.0000000000000001E-4</v>
      </c>
      <c r="D89" s="29" t="s">
        <v>612</v>
      </c>
      <c r="E89" s="29"/>
      <c r="F89" s="45"/>
      <c r="G89" s="49"/>
      <c r="H89" s="49"/>
    </row>
    <row r="90" spans="1:8" x14ac:dyDescent="0.25">
      <c r="A90" s="99" t="s">
        <v>129</v>
      </c>
      <c r="B90" s="101">
        <v>-0.6</v>
      </c>
      <c r="C90" s="101">
        <v>6.2E-4</v>
      </c>
      <c r="D90" s="28"/>
      <c r="E90" s="56"/>
      <c r="F90" s="62"/>
      <c r="G90" s="105">
        <v>-0.97</v>
      </c>
      <c r="H90" s="105"/>
    </row>
    <row r="91" spans="1:8" ht="51.75" thickBot="1" x14ac:dyDescent="0.3">
      <c r="A91" s="100"/>
      <c r="B91" s="102"/>
      <c r="C91" s="102"/>
      <c r="D91" s="29" t="s">
        <v>663</v>
      </c>
      <c r="E91" s="58"/>
      <c r="F91" s="63"/>
      <c r="G91" s="106"/>
      <c r="H91" s="106"/>
    </row>
    <row r="92" spans="1:8" ht="99" customHeight="1" x14ac:dyDescent="0.25">
      <c r="A92" s="99" t="s">
        <v>664</v>
      </c>
      <c r="B92" s="101">
        <v>-0.32</v>
      </c>
      <c r="C92" s="101">
        <v>7.1000000000000002E-4</v>
      </c>
      <c r="D92" s="56" t="s">
        <v>665</v>
      </c>
      <c r="E92" s="99"/>
      <c r="F92" s="105"/>
      <c r="G92" s="105">
        <v>-0.96</v>
      </c>
      <c r="H92" s="105">
        <v>2.9999999999999997E-4</v>
      </c>
    </row>
    <row r="93" spans="1:8" ht="15.75" thickBot="1" x14ac:dyDescent="0.3">
      <c r="A93" s="100"/>
      <c r="B93" s="102"/>
      <c r="C93" s="102"/>
      <c r="D93" s="58"/>
      <c r="E93" s="100"/>
      <c r="F93" s="106"/>
      <c r="G93" s="106"/>
      <c r="H93" s="106"/>
    </row>
    <row r="94" spans="1:8" ht="35.25" customHeight="1" x14ac:dyDescent="0.25">
      <c r="A94" s="99" t="s">
        <v>666</v>
      </c>
      <c r="B94" s="101">
        <v>-0.83</v>
      </c>
      <c r="C94" s="101">
        <v>7.9000000000000001E-4</v>
      </c>
      <c r="D94" s="28" t="s">
        <v>747</v>
      </c>
      <c r="E94" s="56"/>
      <c r="F94" s="62"/>
      <c r="G94" s="105">
        <v>-0.99</v>
      </c>
      <c r="H94" s="105"/>
    </row>
    <row r="95" spans="1:8" ht="15.75" thickBot="1" x14ac:dyDescent="0.3">
      <c r="A95" s="100"/>
      <c r="B95" s="102"/>
      <c r="C95" s="102"/>
      <c r="D95" s="29" t="s">
        <v>667</v>
      </c>
      <c r="E95" s="58"/>
      <c r="F95" s="63"/>
      <c r="G95" s="106"/>
      <c r="H95" s="106"/>
    </row>
    <row r="96" spans="1:8" ht="25.5" x14ac:dyDescent="0.25">
      <c r="A96" s="99" t="s">
        <v>480</v>
      </c>
      <c r="B96" s="109">
        <v>2.57</v>
      </c>
      <c r="C96" s="101">
        <v>8.1999999999999998E-4</v>
      </c>
      <c r="D96" s="28" t="s">
        <v>668</v>
      </c>
      <c r="E96" s="56"/>
      <c r="F96" s="62"/>
      <c r="G96" s="105">
        <v>0.999</v>
      </c>
      <c r="H96" s="105"/>
    </row>
    <row r="97" spans="1:8" x14ac:dyDescent="0.25">
      <c r="A97" s="112"/>
      <c r="B97" s="115"/>
      <c r="C97" s="113"/>
      <c r="D97" s="28" t="s">
        <v>669</v>
      </c>
      <c r="E97" s="57"/>
      <c r="F97" s="114"/>
      <c r="G97" s="111"/>
      <c r="H97" s="111"/>
    </row>
    <row r="98" spans="1:8" ht="51.75" thickBot="1" x14ac:dyDescent="0.3">
      <c r="A98" s="100"/>
      <c r="B98" s="110"/>
      <c r="C98" s="102"/>
      <c r="D98" s="29" t="s">
        <v>670</v>
      </c>
      <c r="E98" s="58"/>
      <c r="F98" s="63"/>
      <c r="G98" s="106"/>
      <c r="H98" s="106"/>
    </row>
    <row r="99" spans="1:8" x14ac:dyDescent="0.25">
      <c r="A99" s="99" t="s">
        <v>338</v>
      </c>
      <c r="B99" s="105">
        <v>-0.13</v>
      </c>
      <c r="C99" s="101">
        <v>1E-3</v>
      </c>
      <c r="D99" s="99" t="s">
        <v>671</v>
      </c>
      <c r="E99" s="56"/>
      <c r="F99" s="62">
        <v>650</v>
      </c>
      <c r="G99" s="105">
        <v>-0.96</v>
      </c>
      <c r="H99" s="105">
        <v>2.0000000000000001E-4</v>
      </c>
    </row>
    <row r="100" spans="1:8" ht="15.75" thickBot="1" x14ac:dyDescent="0.3">
      <c r="A100" s="100"/>
      <c r="B100" s="106"/>
      <c r="C100" s="102"/>
      <c r="D100" s="100"/>
      <c r="E100" s="58"/>
      <c r="F100" s="63"/>
      <c r="G100" s="106"/>
      <c r="H100" s="106"/>
    </row>
    <row r="101" spans="1:8" ht="60.75" customHeight="1" x14ac:dyDescent="0.25">
      <c r="A101" s="99" t="s">
        <v>340</v>
      </c>
      <c r="B101" s="99">
        <v>-0.47</v>
      </c>
      <c r="C101" s="99">
        <v>3.8999999999999998E-3</v>
      </c>
      <c r="D101" s="56" t="s">
        <v>672</v>
      </c>
      <c r="E101" s="56"/>
      <c r="F101" s="62"/>
      <c r="G101" s="105">
        <v>-0.99</v>
      </c>
      <c r="H101" s="105">
        <v>4.0000000000000001E-3</v>
      </c>
    </row>
    <row r="102" spans="1:8" ht="15.75" thickBot="1" x14ac:dyDescent="0.3">
      <c r="A102" s="100"/>
      <c r="B102" s="100"/>
      <c r="C102" s="100"/>
      <c r="D102" s="58"/>
      <c r="E102" s="58"/>
      <c r="F102" s="63"/>
      <c r="G102" s="106"/>
      <c r="H102" s="106"/>
    </row>
    <row r="103" spans="1:8" x14ac:dyDescent="0.25">
      <c r="A103" s="99" t="s">
        <v>196</v>
      </c>
      <c r="B103" s="116">
        <v>0.72</v>
      </c>
      <c r="C103" s="99">
        <v>4.1999999999999997E-3</v>
      </c>
      <c r="D103" s="56" t="s">
        <v>602</v>
      </c>
      <c r="E103" s="56"/>
      <c r="F103" s="62"/>
      <c r="G103" s="105">
        <v>0.96</v>
      </c>
      <c r="H103" s="105"/>
    </row>
    <row r="104" spans="1:8" ht="15.75" thickBot="1" x14ac:dyDescent="0.3">
      <c r="A104" s="100"/>
      <c r="B104" s="117"/>
      <c r="C104" s="100"/>
      <c r="D104" s="58"/>
      <c r="E104" s="58"/>
      <c r="F104" s="63"/>
      <c r="G104" s="106"/>
      <c r="H104" s="106"/>
    </row>
    <row r="105" spans="1:8" x14ac:dyDescent="0.25">
      <c r="A105" s="99" t="s">
        <v>342</v>
      </c>
      <c r="B105" s="99">
        <v>-0.77</v>
      </c>
      <c r="C105" s="99">
        <v>5.0000000000000001E-3</v>
      </c>
      <c r="D105" s="56" t="s">
        <v>673</v>
      </c>
      <c r="E105" s="56"/>
      <c r="F105" s="62"/>
      <c r="G105" s="105">
        <v>-1</v>
      </c>
      <c r="H105" s="105" t="s">
        <v>674</v>
      </c>
    </row>
    <row r="106" spans="1:8" ht="15.75" thickBot="1" x14ac:dyDescent="0.3">
      <c r="A106" s="100"/>
      <c r="B106" s="100"/>
      <c r="C106" s="100"/>
      <c r="D106" s="58"/>
      <c r="E106" s="58"/>
      <c r="F106" s="63"/>
      <c r="G106" s="106"/>
      <c r="H106" s="106"/>
    </row>
    <row r="107" spans="1:8" ht="89.25" x14ac:dyDescent="0.25">
      <c r="A107" s="99" t="s">
        <v>344</v>
      </c>
      <c r="B107" s="116">
        <v>0.62</v>
      </c>
      <c r="C107" s="99">
        <v>5.1000000000000004E-3</v>
      </c>
      <c r="D107" s="50" t="s">
        <v>675</v>
      </c>
      <c r="E107" s="28" t="s">
        <v>678</v>
      </c>
      <c r="F107" s="44">
        <v>5000</v>
      </c>
      <c r="G107" s="105">
        <v>0.98</v>
      </c>
      <c r="H107" s="44">
        <v>6.9999999999999999E-4</v>
      </c>
    </row>
    <row r="108" spans="1:8" x14ac:dyDescent="0.25">
      <c r="A108" s="112"/>
      <c r="B108" s="118"/>
      <c r="C108" s="112"/>
      <c r="D108" s="50"/>
      <c r="E108" s="28"/>
      <c r="F108" s="44"/>
      <c r="G108" s="111"/>
      <c r="H108" s="44"/>
    </row>
    <row r="109" spans="1:8" ht="114.75" x14ac:dyDescent="0.25">
      <c r="A109" s="112"/>
      <c r="B109" s="118"/>
      <c r="C109" s="112"/>
      <c r="D109" s="50" t="s">
        <v>676</v>
      </c>
      <c r="E109" s="28" t="s">
        <v>679</v>
      </c>
      <c r="F109" s="44"/>
      <c r="G109" s="111"/>
      <c r="H109" s="44"/>
    </row>
    <row r="110" spans="1:8" x14ac:dyDescent="0.25">
      <c r="A110" s="112"/>
      <c r="B110" s="118"/>
      <c r="C110" s="112"/>
      <c r="D110" s="50"/>
      <c r="E110" s="28"/>
      <c r="F110" s="44"/>
      <c r="G110" s="111"/>
      <c r="H110" s="44"/>
    </row>
    <row r="111" spans="1:8" ht="114.75" x14ac:dyDescent="0.25">
      <c r="A111" s="112"/>
      <c r="B111" s="118"/>
      <c r="C111" s="112"/>
      <c r="D111" s="50" t="s">
        <v>677</v>
      </c>
      <c r="E111" s="28" t="s">
        <v>680</v>
      </c>
      <c r="F111" s="44">
        <v>1075</v>
      </c>
      <c r="G111" s="111"/>
      <c r="H111" s="44"/>
    </row>
    <row r="112" spans="1:8" x14ac:dyDescent="0.25">
      <c r="A112" s="112"/>
      <c r="B112" s="118"/>
      <c r="C112" s="112"/>
      <c r="D112" s="51"/>
      <c r="E112" s="28"/>
      <c r="F112" s="44"/>
      <c r="G112" s="111"/>
      <c r="H112" s="44"/>
    </row>
    <row r="113" spans="1:8" ht="89.25" x14ac:dyDescent="0.25">
      <c r="A113" s="112"/>
      <c r="B113" s="118"/>
      <c r="C113" s="112"/>
      <c r="D113" s="51"/>
      <c r="E113" s="28" t="s">
        <v>681</v>
      </c>
      <c r="F113" s="44"/>
      <c r="G113" s="111"/>
      <c r="H113" s="44"/>
    </row>
    <row r="114" spans="1:8" x14ac:dyDescent="0.25">
      <c r="A114" s="112"/>
      <c r="B114" s="118"/>
      <c r="C114" s="112"/>
      <c r="D114" s="51"/>
      <c r="E114" s="28"/>
      <c r="F114" s="44"/>
      <c r="G114" s="111"/>
      <c r="H114" s="44"/>
    </row>
    <row r="115" spans="1:8" x14ac:dyDescent="0.25">
      <c r="A115" s="112"/>
      <c r="B115" s="118"/>
      <c r="C115" s="112"/>
      <c r="D115" s="51"/>
      <c r="E115" s="36"/>
      <c r="F115" s="44">
        <v>1272</v>
      </c>
      <c r="G115" s="111"/>
      <c r="H115" s="44"/>
    </row>
    <row r="116" spans="1:8" x14ac:dyDescent="0.25">
      <c r="A116" s="112"/>
      <c r="B116" s="118"/>
      <c r="C116" s="112"/>
      <c r="D116" s="51"/>
      <c r="E116" s="36"/>
      <c r="F116" s="44"/>
      <c r="G116" s="111"/>
      <c r="H116" s="44"/>
    </row>
    <row r="117" spans="1:8" x14ac:dyDescent="0.25">
      <c r="A117" s="112"/>
      <c r="B117" s="118"/>
      <c r="C117" s="112"/>
      <c r="D117" s="51"/>
      <c r="E117" s="36"/>
      <c r="F117" s="44"/>
      <c r="G117" s="111"/>
      <c r="H117" s="44"/>
    </row>
    <row r="118" spans="1:8" x14ac:dyDescent="0.25">
      <c r="A118" s="112"/>
      <c r="B118" s="118"/>
      <c r="C118" s="112"/>
      <c r="D118" s="51"/>
      <c r="E118" s="36"/>
      <c r="F118" s="44"/>
      <c r="G118" s="111"/>
      <c r="H118" s="44"/>
    </row>
    <row r="119" spans="1:8" ht="15.75" thickBot="1" x14ac:dyDescent="0.3">
      <c r="A119" s="100"/>
      <c r="B119" s="117"/>
      <c r="C119" s="100"/>
      <c r="D119" s="24"/>
      <c r="E119" s="34"/>
      <c r="F119" s="49">
        <v>96.1</v>
      </c>
      <c r="G119" s="106"/>
      <c r="H119" s="49">
        <v>0.02</v>
      </c>
    </row>
    <row r="120" spans="1:8" x14ac:dyDescent="0.25">
      <c r="A120" s="99" t="s">
        <v>208</v>
      </c>
      <c r="B120" s="116">
        <v>0.73</v>
      </c>
      <c r="C120" s="99">
        <v>5.1999999999999998E-3</v>
      </c>
      <c r="D120" s="56" t="s">
        <v>602</v>
      </c>
      <c r="E120" s="56"/>
      <c r="F120" s="62"/>
      <c r="G120" s="105">
        <v>0.97</v>
      </c>
      <c r="H120" s="105"/>
    </row>
    <row r="121" spans="1:8" ht="15.75" thickBot="1" x14ac:dyDescent="0.3">
      <c r="A121" s="100"/>
      <c r="B121" s="117"/>
      <c r="C121" s="100"/>
      <c r="D121" s="58"/>
      <c r="E121" s="58"/>
      <c r="F121" s="63"/>
      <c r="G121" s="106"/>
      <c r="H121" s="106"/>
    </row>
    <row r="122" spans="1:8" ht="60.75" customHeight="1" x14ac:dyDescent="0.25">
      <c r="A122" s="99" t="s">
        <v>682</v>
      </c>
      <c r="B122" s="99">
        <v>-0.61</v>
      </c>
      <c r="C122" s="99">
        <v>5.4000000000000003E-3</v>
      </c>
      <c r="D122" s="56" t="s">
        <v>683</v>
      </c>
      <c r="E122" s="56"/>
      <c r="F122" s="62"/>
      <c r="G122" s="105">
        <v>-0.98</v>
      </c>
      <c r="H122" s="105"/>
    </row>
    <row r="123" spans="1:8" ht="15.75" thickBot="1" x14ac:dyDescent="0.3">
      <c r="A123" s="100"/>
      <c r="B123" s="100"/>
      <c r="C123" s="100"/>
      <c r="D123" s="58"/>
      <c r="E123" s="58"/>
      <c r="F123" s="63"/>
      <c r="G123" s="106"/>
      <c r="H123" s="106"/>
    </row>
    <row r="124" spans="1:8" x14ac:dyDescent="0.25">
      <c r="A124" s="99" t="s">
        <v>190</v>
      </c>
      <c r="B124" s="116">
        <v>0.62</v>
      </c>
      <c r="C124" s="99">
        <v>7.0000000000000001E-3</v>
      </c>
      <c r="D124" s="56" t="s">
        <v>602</v>
      </c>
      <c r="E124" s="56"/>
      <c r="F124" s="62"/>
      <c r="G124" s="105">
        <v>0.95</v>
      </c>
      <c r="H124" s="105"/>
    </row>
    <row r="125" spans="1:8" ht="15.75" thickBot="1" x14ac:dyDescent="0.3">
      <c r="A125" s="100"/>
      <c r="B125" s="117"/>
      <c r="C125" s="100"/>
      <c r="D125" s="58"/>
      <c r="E125" s="58"/>
      <c r="F125" s="63"/>
      <c r="G125" s="106"/>
      <c r="H125" s="106"/>
    </row>
    <row r="126" spans="1:8" ht="22.5" customHeight="1" x14ac:dyDescent="0.25">
      <c r="A126" s="99" t="s">
        <v>684</v>
      </c>
      <c r="B126" s="116">
        <v>0.78</v>
      </c>
      <c r="C126" s="99">
        <v>8.0000000000000002E-3</v>
      </c>
      <c r="D126" s="119" t="s">
        <v>612</v>
      </c>
      <c r="E126" s="56"/>
      <c r="F126" s="62"/>
      <c r="G126" s="105">
        <v>0.99</v>
      </c>
      <c r="H126" s="105" t="s">
        <v>685</v>
      </c>
    </row>
    <row r="127" spans="1:8" ht="15.75" thickBot="1" x14ac:dyDescent="0.3">
      <c r="A127" s="100"/>
      <c r="B127" s="117"/>
      <c r="C127" s="100"/>
      <c r="D127" s="120"/>
      <c r="E127" s="58"/>
      <c r="F127" s="63"/>
      <c r="G127" s="106"/>
      <c r="H127" s="106"/>
    </row>
    <row r="128" spans="1:8" x14ac:dyDescent="0.25">
      <c r="A128" s="99" t="s">
        <v>350</v>
      </c>
      <c r="B128" s="99">
        <v>-0.41</v>
      </c>
      <c r="C128" s="99">
        <v>9.7000000000000003E-3</v>
      </c>
      <c r="D128" s="99" t="s">
        <v>686</v>
      </c>
      <c r="E128" s="56"/>
      <c r="F128" s="62"/>
      <c r="G128" s="105">
        <v>-0.95</v>
      </c>
      <c r="H128" s="105" t="s">
        <v>687</v>
      </c>
    </row>
    <row r="129" spans="1:8" ht="15.75" thickBot="1" x14ac:dyDescent="0.3">
      <c r="A129" s="100"/>
      <c r="B129" s="100"/>
      <c r="C129" s="100"/>
      <c r="D129" s="100"/>
      <c r="E129" s="58"/>
      <c r="F129" s="63"/>
      <c r="G129" s="106"/>
      <c r="H129" s="106"/>
    </row>
    <row r="130" spans="1:8" x14ac:dyDescent="0.25">
      <c r="A130" s="99" t="s">
        <v>223</v>
      </c>
      <c r="B130" s="116">
        <v>0.69</v>
      </c>
      <c r="C130" s="99">
        <v>1.0999999999999999E-2</v>
      </c>
      <c r="D130" s="56" t="s">
        <v>602</v>
      </c>
      <c r="E130" s="56"/>
      <c r="F130" s="62"/>
      <c r="G130" s="105">
        <v>0.97</v>
      </c>
      <c r="H130" s="105"/>
    </row>
    <row r="131" spans="1:8" ht="15.75" thickBot="1" x14ac:dyDescent="0.3">
      <c r="A131" s="100"/>
      <c r="B131" s="117"/>
      <c r="C131" s="100"/>
      <c r="D131" s="58"/>
      <c r="E131" s="58"/>
      <c r="F131" s="63"/>
      <c r="G131" s="106"/>
      <c r="H131" s="106"/>
    </row>
    <row r="132" spans="1:8" ht="73.5" customHeight="1" x14ac:dyDescent="0.25">
      <c r="A132" s="99" t="s">
        <v>354</v>
      </c>
      <c r="B132" s="99">
        <v>-3.08</v>
      </c>
      <c r="C132" s="99">
        <v>1.1599999999999999E-2</v>
      </c>
      <c r="D132" s="56" t="s">
        <v>688</v>
      </c>
      <c r="E132" s="56"/>
      <c r="F132" s="62"/>
      <c r="G132" s="105">
        <v>-0.79</v>
      </c>
      <c r="H132" s="107">
        <v>1.0000000000000001E-5</v>
      </c>
    </row>
    <row r="133" spans="1:8" ht="15.75" thickBot="1" x14ac:dyDescent="0.3">
      <c r="A133" s="100"/>
      <c r="B133" s="100"/>
      <c r="C133" s="100"/>
      <c r="D133" s="58"/>
      <c r="E133" s="58"/>
      <c r="F133" s="63"/>
      <c r="G133" s="106"/>
      <c r="H133" s="108"/>
    </row>
    <row r="134" spans="1:8" ht="35.25" customHeight="1" x14ac:dyDescent="0.25">
      <c r="A134" s="99" t="s">
        <v>57</v>
      </c>
      <c r="B134" s="99">
        <v>-0.5</v>
      </c>
      <c r="C134" s="99">
        <v>1.4E-2</v>
      </c>
      <c r="D134" s="56" t="s">
        <v>689</v>
      </c>
      <c r="E134" s="56" t="s">
        <v>690</v>
      </c>
      <c r="F134" s="105">
        <v>1146</v>
      </c>
      <c r="G134" s="105">
        <v>-0.999</v>
      </c>
      <c r="H134" s="105"/>
    </row>
    <row r="135" spans="1:8" ht="15.75" thickBot="1" x14ac:dyDescent="0.3">
      <c r="A135" s="100"/>
      <c r="B135" s="100"/>
      <c r="C135" s="100"/>
      <c r="D135" s="58"/>
      <c r="E135" s="58"/>
      <c r="F135" s="106"/>
      <c r="G135" s="106"/>
      <c r="H135" s="106"/>
    </row>
    <row r="136" spans="1:8" ht="35.25" customHeight="1" x14ac:dyDescent="0.25">
      <c r="A136" s="99" t="s">
        <v>691</v>
      </c>
      <c r="B136" s="99">
        <v>-1.34</v>
      </c>
      <c r="C136" s="99">
        <v>1.4999999999999999E-2</v>
      </c>
      <c r="D136" s="99" t="s">
        <v>612</v>
      </c>
      <c r="E136" s="99"/>
      <c r="F136" s="105"/>
      <c r="G136" s="105">
        <v>-0.92</v>
      </c>
      <c r="H136" s="105"/>
    </row>
    <row r="137" spans="1:8" ht="15.75" thickBot="1" x14ac:dyDescent="0.3">
      <c r="A137" s="100"/>
      <c r="B137" s="100"/>
      <c r="C137" s="100"/>
      <c r="D137" s="100"/>
      <c r="E137" s="100"/>
      <c r="F137" s="106"/>
      <c r="G137" s="106"/>
      <c r="H137" s="106"/>
    </row>
    <row r="138" spans="1:8" ht="35.25" customHeight="1" x14ac:dyDescent="0.25">
      <c r="A138" s="99" t="s">
        <v>692</v>
      </c>
      <c r="B138" s="116">
        <v>0.6</v>
      </c>
      <c r="C138" s="99">
        <v>1.6E-2</v>
      </c>
      <c r="D138" s="56" t="s">
        <v>612</v>
      </c>
      <c r="E138" s="56" t="s">
        <v>693</v>
      </c>
      <c r="F138" s="62"/>
      <c r="G138" s="105">
        <v>-0.26</v>
      </c>
      <c r="H138" s="105"/>
    </row>
    <row r="139" spans="1:8" ht="15.75" thickBot="1" x14ac:dyDescent="0.3">
      <c r="A139" s="100"/>
      <c r="B139" s="117"/>
      <c r="C139" s="100"/>
      <c r="D139" s="58"/>
      <c r="E139" s="58"/>
      <c r="F139" s="63"/>
      <c r="G139" s="106"/>
      <c r="H139" s="106"/>
    </row>
    <row r="140" spans="1:8" x14ac:dyDescent="0.25">
      <c r="A140" s="99" t="s">
        <v>291</v>
      </c>
      <c r="B140" s="116">
        <v>1.0900000000000001</v>
      </c>
      <c r="C140" s="99">
        <v>1.6E-2</v>
      </c>
      <c r="D140" s="56" t="s">
        <v>602</v>
      </c>
      <c r="E140" s="56"/>
      <c r="F140" s="62"/>
      <c r="G140" s="105">
        <v>0.98</v>
      </c>
      <c r="H140" s="105"/>
    </row>
    <row r="141" spans="1:8" ht="15.75" thickBot="1" x14ac:dyDescent="0.3">
      <c r="A141" s="100"/>
      <c r="B141" s="117"/>
      <c r="C141" s="100"/>
      <c r="D141" s="58"/>
      <c r="E141" s="58"/>
      <c r="F141" s="63"/>
      <c r="G141" s="106"/>
      <c r="H141" s="106"/>
    </row>
    <row r="142" spans="1:8" ht="60.75" customHeight="1" x14ac:dyDescent="0.25">
      <c r="A142" s="99" t="s">
        <v>694</v>
      </c>
      <c r="B142" s="116">
        <v>3.02</v>
      </c>
      <c r="C142" s="99">
        <v>0.02</v>
      </c>
      <c r="D142" s="56" t="s">
        <v>695</v>
      </c>
      <c r="E142" s="56"/>
      <c r="F142" s="62"/>
      <c r="G142" s="105">
        <v>0.99</v>
      </c>
      <c r="H142" s="105">
        <v>0.03</v>
      </c>
    </row>
    <row r="143" spans="1:8" ht="15.75" thickBot="1" x14ac:dyDescent="0.3">
      <c r="A143" s="100"/>
      <c r="B143" s="117"/>
      <c r="C143" s="100"/>
      <c r="D143" s="58"/>
      <c r="E143" s="58"/>
      <c r="F143" s="63"/>
      <c r="G143" s="106"/>
      <c r="H143" s="106"/>
    </row>
    <row r="144" spans="1:8" ht="86.25" customHeight="1" x14ac:dyDescent="0.25">
      <c r="A144" s="99" t="s">
        <v>696</v>
      </c>
      <c r="B144" s="99">
        <v>-0.64</v>
      </c>
      <c r="C144" s="99">
        <v>0.03</v>
      </c>
      <c r="D144" s="56" t="s">
        <v>697</v>
      </c>
      <c r="E144" s="56"/>
      <c r="F144" s="62"/>
      <c r="G144" s="105">
        <v>-0.98</v>
      </c>
      <c r="H144" s="105" t="s">
        <v>698</v>
      </c>
    </row>
    <row r="145" spans="1:8" ht="15.75" thickBot="1" x14ac:dyDescent="0.3">
      <c r="A145" s="100"/>
      <c r="B145" s="100"/>
      <c r="C145" s="100"/>
      <c r="D145" s="58"/>
      <c r="E145" s="58"/>
      <c r="F145" s="63"/>
      <c r="G145" s="106"/>
      <c r="H145" s="106"/>
    </row>
    <row r="146" spans="1:8" ht="35.25" customHeight="1" x14ac:dyDescent="0.25">
      <c r="A146" s="99" t="s">
        <v>699</v>
      </c>
      <c r="B146" s="99">
        <v>-0.74</v>
      </c>
      <c r="C146" s="99">
        <v>3.4000000000000002E-2</v>
      </c>
      <c r="D146" s="99" t="s">
        <v>612</v>
      </c>
      <c r="E146" s="99"/>
      <c r="F146" s="105"/>
      <c r="G146" s="105">
        <v>-0.99</v>
      </c>
      <c r="H146" s="105"/>
    </row>
    <row r="147" spans="1:8" ht="15.75" thickBot="1" x14ac:dyDescent="0.3">
      <c r="A147" s="100"/>
      <c r="B147" s="100"/>
      <c r="C147" s="100"/>
      <c r="D147" s="100"/>
      <c r="E147" s="100"/>
      <c r="F147" s="106"/>
      <c r="G147" s="106"/>
      <c r="H147" s="106"/>
    </row>
    <row r="148" spans="1:8" x14ac:dyDescent="0.25">
      <c r="A148" s="99" t="s">
        <v>362</v>
      </c>
      <c r="B148" s="116">
        <v>0.56999999999999995</v>
      </c>
      <c r="C148" s="99">
        <v>3.5000000000000003E-2</v>
      </c>
      <c r="D148" s="56" t="s">
        <v>700</v>
      </c>
      <c r="E148" s="56"/>
      <c r="F148" s="62"/>
      <c r="G148" s="105">
        <v>0.99</v>
      </c>
      <c r="H148" s="105"/>
    </row>
    <row r="149" spans="1:8" ht="15.75" thickBot="1" x14ac:dyDescent="0.3">
      <c r="A149" s="100"/>
      <c r="B149" s="117"/>
      <c r="C149" s="100"/>
      <c r="D149" s="58"/>
      <c r="E149" s="58"/>
      <c r="F149" s="63"/>
      <c r="G149" s="106"/>
      <c r="H149" s="106"/>
    </row>
    <row r="150" spans="1:8" ht="73.5" customHeight="1" x14ac:dyDescent="0.25">
      <c r="A150" s="99" t="s">
        <v>701</v>
      </c>
      <c r="B150" s="116">
        <v>0.2</v>
      </c>
      <c r="C150" s="99">
        <v>4.3999999999999997E-2</v>
      </c>
      <c r="D150" s="56" t="s">
        <v>702</v>
      </c>
      <c r="E150" s="56"/>
      <c r="F150" s="62"/>
      <c r="G150" s="105">
        <v>-0.65</v>
      </c>
      <c r="H150" s="105">
        <v>0.03</v>
      </c>
    </row>
    <row r="151" spans="1:8" ht="15.75" thickBot="1" x14ac:dyDescent="0.3">
      <c r="A151" s="100"/>
      <c r="B151" s="117"/>
      <c r="C151" s="100"/>
      <c r="D151" s="58"/>
      <c r="E151" s="58"/>
      <c r="F151" s="63"/>
      <c r="G151" s="106"/>
      <c r="H151" s="106"/>
    </row>
    <row r="152" spans="1:8" ht="35.25" customHeight="1" x14ac:dyDescent="0.25">
      <c r="A152" s="99" t="s">
        <v>364</v>
      </c>
      <c r="B152" s="99">
        <v>-0.31</v>
      </c>
      <c r="C152" s="99">
        <v>4.8000000000000001E-2</v>
      </c>
      <c r="D152" s="56" t="s">
        <v>703</v>
      </c>
      <c r="E152" s="56"/>
      <c r="F152" s="62"/>
      <c r="G152" s="105">
        <v>-0.96</v>
      </c>
      <c r="H152" s="105"/>
    </row>
    <row r="153" spans="1:8" ht="15.75" thickBot="1" x14ac:dyDescent="0.3">
      <c r="A153" s="100"/>
      <c r="B153" s="100"/>
      <c r="C153" s="100"/>
      <c r="D153" s="58"/>
      <c r="E153" s="58"/>
      <c r="F153" s="63"/>
      <c r="G153" s="106"/>
      <c r="H153" s="106"/>
    </row>
    <row r="154" spans="1:8" ht="48" customHeight="1" x14ac:dyDescent="0.25">
      <c r="A154" s="99" t="s">
        <v>704</v>
      </c>
      <c r="B154" s="116">
        <v>0.25</v>
      </c>
      <c r="C154" s="99">
        <v>4.9000000000000002E-2</v>
      </c>
      <c r="D154" s="99" t="s">
        <v>612</v>
      </c>
      <c r="E154" s="99"/>
      <c r="F154" s="105"/>
      <c r="G154" s="105">
        <v>-0.34</v>
      </c>
      <c r="H154" s="105"/>
    </row>
    <row r="155" spans="1:8" ht="15.75" thickBot="1" x14ac:dyDescent="0.3">
      <c r="A155" s="100"/>
      <c r="B155" s="117"/>
      <c r="C155" s="100"/>
      <c r="D155" s="100"/>
      <c r="E155" s="100"/>
      <c r="F155" s="106"/>
      <c r="G155" s="106"/>
      <c r="H155" s="106"/>
    </row>
    <row r="156" spans="1:8" ht="38.25" x14ac:dyDescent="0.25">
      <c r="A156" s="42" t="s">
        <v>705</v>
      </c>
      <c r="B156" s="99">
        <v>-1.62</v>
      </c>
      <c r="C156" s="121">
        <v>5.3000000000000001E-14</v>
      </c>
      <c r="D156" s="56" t="s">
        <v>707</v>
      </c>
      <c r="E156" s="43" t="s">
        <v>708</v>
      </c>
      <c r="F156" s="32"/>
      <c r="G156" s="105">
        <v>-0.95</v>
      </c>
      <c r="H156" s="105"/>
    </row>
    <row r="157" spans="1:8" ht="38.25" x14ac:dyDescent="0.25">
      <c r="A157" s="42" t="s">
        <v>706</v>
      </c>
      <c r="B157" s="112"/>
      <c r="C157" s="122"/>
      <c r="D157" s="57"/>
      <c r="E157" s="43" t="s">
        <v>709</v>
      </c>
      <c r="F157" s="44">
        <v>1330</v>
      </c>
      <c r="G157" s="111"/>
      <c r="H157" s="111"/>
    </row>
    <row r="158" spans="1:8" ht="51.75" thickBot="1" x14ac:dyDescent="0.3">
      <c r="A158" s="52"/>
      <c r="B158" s="100"/>
      <c r="C158" s="123"/>
      <c r="D158" s="57"/>
      <c r="E158" s="29" t="s">
        <v>710</v>
      </c>
      <c r="F158" s="45"/>
      <c r="G158" s="106"/>
      <c r="H158" s="106"/>
    </row>
    <row r="159" spans="1:8" ht="51" x14ac:dyDescent="0.25">
      <c r="A159" s="52"/>
      <c r="B159" s="99">
        <v>-1.26</v>
      </c>
      <c r="C159" s="121">
        <v>2.0000000000000001E-10</v>
      </c>
      <c r="D159" s="57"/>
      <c r="E159" s="43" t="s">
        <v>711</v>
      </c>
      <c r="F159" s="62">
        <v>2233</v>
      </c>
      <c r="G159" s="62">
        <v>-0.98</v>
      </c>
      <c r="H159" s="62"/>
    </row>
    <row r="160" spans="1:8" ht="25.5" x14ac:dyDescent="0.25">
      <c r="A160" s="52"/>
      <c r="B160" s="112"/>
      <c r="C160" s="122"/>
      <c r="D160" s="57"/>
      <c r="E160" s="43" t="s">
        <v>712</v>
      </c>
      <c r="F160" s="114"/>
      <c r="G160" s="114"/>
      <c r="H160" s="114"/>
    </row>
    <row r="161" spans="1:8" ht="51.75" thickBot="1" x14ac:dyDescent="0.3">
      <c r="A161" s="52"/>
      <c r="B161" s="100"/>
      <c r="C161" s="123"/>
      <c r="D161" s="57"/>
      <c r="E161" s="47" t="s">
        <v>713</v>
      </c>
      <c r="F161" s="63"/>
      <c r="G161" s="63"/>
      <c r="H161" s="63"/>
    </row>
    <row r="162" spans="1:8" ht="38.25" x14ac:dyDescent="0.25">
      <c r="A162" s="52"/>
      <c r="B162" s="99">
        <v>-0.97</v>
      </c>
      <c r="C162" s="121">
        <v>4.0000000000000002E-9</v>
      </c>
      <c r="D162" s="57"/>
      <c r="E162" s="43" t="s">
        <v>709</v>
      </c>
      <c r="F162" s="62">
        <v>1260</v>
      </c>
      <c r="G162" s="62">
        <v>-1</v>
      </c>
      <c r="H162" s="62"/>
    </row>
    <row r="163" spans="1:8" ht="25.5" x14ac:dyDescent="0.25">
      <c r="A163" s="52"/>
      <c r="B163" s="112"/>
      <c r="C163" s="122"/>
      <c r="D163" s="57"/>
      <c r="E163" s="43" t="s">
        <v>714</v>
      </c>
      <c r="F163" s="114"/>
      <c r="G163" s="114"/>
      <c r="H163" s="114"/>
    </row>
    <row r="164" spans="1:8" ht="51" x14ac:dyDescent="0.25">
      <c r="A164" s="52"/>
      <c r="B164" s="112"/>
      <c r="C164" s="122"/>
      <c r="D164" s="57"/>
      <c r="E164" s="43" t="s">
        <v>715</v>
      </c>
      <c r="F164" s="114"/>
      <c r="G164" s="114"/>
      <c r="H164" s="114"/>
    </row>
    <row r="165" spans="1:8" ht="15.75" thickBot="1" x14ac:dyDescent="0.3">
      <c r="A165" s="52"/>
      <c r="B165" s="100"/>
      <c r="C165" s="123"/>
      <c r="D165" s="57"/>
      <c r="E165" s="47"/>
      <c r="F165" s="63"/>
      <c r="G165" s="63"/>
      <c r="H165" s="63"/>
    </row>
    <row r="166" spans="1:8" ht="63.75" x14ac:dyDescent="0.25">
      <c r="A166" s="52"/>
      <c r="B166" s="99">
        <v>-0.87</v>
      </c>
      <c r="C166" s="121">
        <v>2.9E-5</v>
      </c>
      <c r="D166" s="57"/>
      <c r="E166" s="43" t="s">
        <v>716</v>
      </c>
      <c r="F166" s="62">
        <v>476</v>
      </c>
      <c r="G166" s="62">
        <v>-0.99</v>
      </c>
      <c r="H166" s="62" t="s">
        <v>719</v>
      </c>
    </row>
    <row r="167" spans="1:8" ht="25.5" x14ac:dyDescent="0.25">
      <c r="A167" s="52"/>
      <c r="B167" s="112"/>
      <c r="C167" s="122"/>
      <c r="D167" s="57"/>
      <c r="E167" s="43" t="s">
        <v>717</v>
      </c>
      <c r="F167" s="114"/>
      <c r="G167" s="114"/>
      <c r="H167" s="114"/>
    </row>
    <row r="168" spans="1:8" ht="77.25" thickBot="1" x14ac:dyDescent="0.3">
      <c r="A168" s="52"/>
      <c r="B168" s="100"/>
      <c r="C168" s="123"/>
      <c r="D168" s="57"/>
      <c r="E168" s="47" t="s">
        <v>718</v>
      </c>
      <c r="F168" s="63"/>
      <c r="G168" s="63"/>
      <c r="H168" s="63"/>
    </row>
    <row r="169" spans="1:8" ht="38.25" x14ac:dyDescent="0.25">
      <c r="A169" s="52"/>
      <c r="B169" s="99">
        <v>-2.14</v>
      </c>
      <c r="C169" s="99">
        <v>0.82</v>
      </c>
      <c r="D169" s="57"/>
      <c r="E169" s="28" t="s">
        <v>720</v>
      </c>
      <c r="F169" s="62">
        <v>276</v>
      </c>
      <c r="G169" s="105">
        <v>-0.28999999999999998</v>
      </c>
      <c r="H169" s="105"/>
    </row>
    <row r="170" spans="1:8" ht="25.5" x14ac:dyDescent="0.25">
      <c r="A170" s="52"/>
      <c r="B170" s="112"/>
      <c r="C170" s="112"/>
      <c r="D170" s="57"/>
      <c r="E170" s="28" t="s">
        <v>721</v>
      </c>
      <c r="F170" s="114"/>
      <c r="G170" s="111"/>
      <c r="H170" s="111"/>
    </row>
    <row r="171" spans="1:8" ht="51.75" thickBot="1" x14ac:dyDescent="0.3">
      <c r="A171" s="22"/>
      <c r="B171" s="100"/>
      <c r="C171" s="100"/>
      <c r="D171" s="58"/>
      <c r="E171" s="29" t="s">
        <v>722</v>
      </c>
      <c r="F171" s="63"/>
      <c r="G171" s="106"/>
      <c r="H171" s="106"/>
    </row>
    <row r="172" spans="1:8" ht="22.5" customHeight="1" x14ac:dyDescent="0.25">
      <c r="A172" s="99" t="s">
        <v>723</v>
      </c>
      <c r="B172" s="56">
        <v>-0.77</v>
      </c>
      <c r="C172" s="124">
        <v>1.4E-11</v>
      </c>
      <c r="D172" s="99"/>
      <c r="E172" s="99" t="s">
        <v>724</v>
      </c>
      <c r="F172" s="105">
        <v>18631</v>
      </c>
      <c r="G172" s="105">
        <v>-0.99</v>
      </c>
      <c r="H172" s="105"/>
    </row>
    <row r="173" spans="1:8" ht="15.75" thickBot="1" x14ac:dyDescent="0.3">
      <c r="A173" s="100"/>
      <c r="B173" s="58"/>
      <c r="C173" s="125"/>
      <c r="D173" s="112"/>
      <c r="E173" s="100"/>
      <c r="F173" s="106"/>
      <c r="G173" s="106"/>
      <c r="H173" s="106"/>
    </row>
    <row r="174" spans="1:8" x14ac:dyDescent="0.25">
      <c r="A174" s="99" t="s">
        <v>725</v>
      </c>
      <c r="B174" s="56">
        <v>-1.18</v>
      </c>
      <c r="C174" s="56">
        <v>0.14000000000000001</v>
      </c>
      <c r="D174" s="112"/>
      <c r="E174" s="43"/>
      <c r="F174" s="105">
        <v>7566</v>
      </c>
      <c r="G174" s="105">
        <v>-0.99</v>
      </c>
      <c r="H174" s="105"/>
    </row>
    <row r="175" spans="1:8" ht="39" thickBot="1" x14ac:dyDescent="0.3">
      <c r="A175" s="100"/>
      <c r="B175" s="58"/>
      <c r="C175" s="58"/>
      <c r="D175" s="112"/>
      <c r="E175" s="47" t="s">
        <v>726</v>
      </c>
      <c r="F175" s="106"/>
      <c r="G175" s="106"/>
      <c r="H175" s="106"/>
    </row>
    <row r="176" spans="1:8" ht="42" thickBot="1" x14ac:dyDescent="0.3">
      <c r="A176" s="46" t="s">
        <v>621</v>
      </c>
      <c r="B176" s="53">
        <v>5.93</v>
      </c>
      <c r="C176" s="54">
        <v>1.2E-5</v>
      </c>
      <c r="D176" s="112"/>
      <c r="E176" s="47" t="s">
        <v>727</v>
      </c>
      <c r="F176" s="49">
        <v>3375</v>
      </c>
      <c r="G176" s="55">
        <v>0.98</v>
      </c>
      <c r="H176" s="55"/>
    </row>
    <row r="177" spans="1:8" ht="25.5" x14ac:dyDescent="0.25">
      <c r="A177" s="99" t="s">
        <v>728</v>
      </c>
      <c r="B177" s="56">
        <v>-0.92</v>
      </c>
      <c r="C177" s="56">
        <v>8.9999999999999993E-3</v>
      </c>
      <c r="D177" s="112"/>
      <c r="E177" s="43" t="s">
        <v>729</v>
      </c>
      <c r="F177" s="105">
        <v>83</v>
      </c>
      <c r="G177" s="62">
        <v>-0.99</v>
      </c>
      <c r="H177" s="62"/>
    </row>
    <row r="178" spans="1:8" ht="51.75" thickBot="1" x14ac:dyDescent="0.3">
      <c r="A178" s="100"/>
      <c r="B178" s="58"/>
      <c r="C178" s="58"/>
      <c r="D178" s="112"/>
      <c r="E178" s="47" t="s">
        <v>730</v>
      </c>
      <c r="F178" s="106"/>
      <c r="G178" s="63"/>
      <c r="H178" s="63"/>
    </row>
    <row r="179" spans="1:8" ht="25.5" x14ac:dyDescent="0.25">
      <c r="A179" s="99" t="s">
        <v>731</v>
      </c>
      <c r="B179" s="56">
        <v>-0.65</v>
      </c>
      <c r="C179" s="56">
        <v>0.87</v>
      </c>
      <c r="D179" s="112"/>
      <c r="E179" s="43" t="s">
        <v>732</v>
      </c>
      <c r="F179" s="105">
        <v>22.2</v>
      </c>
      <c r="G179" s="62">
        <v>0.02</v>
      </c>
      <c r="H179" s="62">
        <v>0.04</v>
      </c>
    </row>
    <row r="180" spans="1:8" ht="51.75" thickBot="1" x14ac:dyDescent="0.3">
      <c r="A180" s="100"/>
      <c r="B180" s="58"/>
      <c r="C180" s="58"/>
      <c r="D180" s="100"/>
      <c r="E180" s="47" t="s">
        <v>733</v>
      </c>
      <c r="F180" s="106"/>
      <c r="G180" s="63"/>
      <c r="H180" s="63"/>
    </row>
    <row r="181" spans="1:8" ht="38.25" x14ac:dyDescent="0.25">
      <c r="A181" s="99" t="s">
        <v>643</v>
      </c>
      <c r="B181" s="99">
        <v>-1.39</v>
      </c>
      <c r="C181" s="121">
        <v>1.4000000000000001E-16</v>
      </c>
      <c r="D181" s="99" t="s">
        <v>734</v>
      </c>
      <c r="E181" s="43" t="s">
        <v>735</v>
      </c>
      <c r="F181" s="105">
        <v>35.1</v>
      </c>
      <c r="G181" s="62">
        <v>-0.98</v>
      </c>
      <c r="H181" s="62"/>
    </row>
    <row r="182" spans="1:8" ht="51.75" thickBot="1" x14ac:dyDescent="0.3">
      <c r="A182" s="100"/>
      <c r="B182" s="100"/>
      <c r="C182" s="123"/>
      <c r="D182" s="100"/>
      <c r="E182" s="47" t="s">
        <v>736</v>
      </c>
      <c r="F182" s="106"/>
      <c r="G182" s="63"/>
      <c r="H182" s="63"/>
    </row>
    <row r="183" spans="1:8" ht="25.5" customHeight="1" x14ac:dyDescent="0.25">
      <c r="A183" s="64" t="s">
        <v>737</v>
      </c>
      <c r="B183" s="65"/>
      <c r="C183" s="65"/>
      <c r="D183" s="65"/>
      <c r="E183" s="65"/>
      <c r="F183" s="65"/>
      <c r="G183" s="65"/>
      <c r="H183" s="66"/>
    </row>
    <row r="184" spans="1:8" ht="25.5" customHeight="1" x14ac:dyDescent="0.25">
      <c r="A184" s="126" t="s">
        <v>738</v>
      </c>
      <c r="B184" s="127"/>
      <c r="C184" s="127"/>
      <c r="D184" s="127"/>
      <c r="E184" s="127"/>
      <c r="F184" s="127"/>
      <c r="G184" s="127"/>
      <c r="H184" s="128"/>
    </row>
    <row r="185" spans="1:8" x14ac:dyDescent="0.25">
      <c r="A185" s="126" t="s">
        <v>739</v>
      </c>
      <c r="B185" s="127"/>
      <c r="C185" s="127"/>
      <c r="D185" s="127"/>
      <c r="E185" s="127"/>
      <c r="F185" s="127"/>
      <c r="G185" s="127"/>
      <c r="H185" s="128"/>
    </row>
    <row r="186" spans="1:8" ht="25.5" customHeight="1" x14ac:dyDescent="0.25">
      <c r="A186" s="126" t="s">
        <v>740</v>
      </c>
      <c r="B186" s="127"/>
      <c r="C186" s="127"/>
      <c r="D186" s="127"/>
      <c r="E186" s="127"/>
      <c r="F186" s="127"/>
      <c r="G186" s="127"/>
      <c r="H186" s="128"/>
    </row>
    <row r="187" spans="1:8" ht="41.25" customHeight="1" thickBot="1" x14ac:dyDescent="0.3">
      <c r="A187" s="129" t="s">
        <v>741</v>
      </c>
      <c r="B187" s="130"/>
      <c r="C187" s="130"/>
      <c r="D187" s="130"/>
      <c r="E187" s="130"/>
      <c r="F187" s="130"/>
      <c r="G187" s="130"/>
      <c r="H187" s="131"/>
    </row>
  </sheetData>
  <mergeCells count="336">
    <mergeCell ref="F177:F178"/>
    <mergeCell ref="G177:G178"/>
    <mergeCell ref="H177:H178"/>
    <mergeCell ref="H181:H182"/>
    <mergeCell ref="A183:H183"/>
    <mergeCell ref="A184:H184"/>
    <mergeCell ref="A185:H185"/>
    <mergeCell ref="A186:H186"/>
    <mergeCell ref="A187:H187"/>
    <mergeCell ref="A181:A182"/>
    <mergeCell ref="B181:B182"/>
    <mergeCell ref="C181:C182"/>
    <mergeCell ref="D181:D182"/>
    <mergeCell ref="F181:F182"/>
    <mergeCell ref="G181:G182"/>
    <mergeCell ref="H169:H171"/>
    <mergeCell ref="A172:A173"/>
    <mergeCell ref="B172:B173"/>
    <mergeCell ref="C172:C173"/>
    <mergeCell ref="D172:D180"/>
    <mergeCell ref="E172:E173"/>
    <mergeCell ref="F172:F173"/>
    <mergeCell ref="G172:G173"/>
    <mergeCell ref="H172:H173"/>
    <mergeCell ref="A174:A175"/>
    <mergeCell ref="B174:B175"/>
    <mergeCell ref="C174:C175"/>
    <mergeCell ref="F174:F175"/>
    <mergeCell ref="G174:G175"/>
    <mergeCell ref="H174:H175"/>
    <mergeCell ref="A179:A180"/>
    <mergeCell ref="B179:B180"/>
    <mergeCell ref="C179:C180"/>
    <mergeCell ref="F179:F180"/>
    <mergeCell ref="G179:G180"/>
    <mergeCell ref="H179:H180"/>
    <mergeCell ref="A177:A178"/>
    <mergeCell ref="B177:B178"/>
    <mergeCell ref="C177:C178"/>
    <mergeCell ref="B156:B158"/>
    <mergeCell ref="C156:C158"/>
    <mergeCell ref="D156:D171"/>
    <mergeCell ref="G156:G158"/>
    <mergeCell ref="H156:H158"/>
    <mergeCell ref="B159:B161"/>
    <mergeCell ref="C159:C161"/>
    <mergeCell ref="F159:F161"/>
    <mergeCell ref="G159:G161"/>
    <mergeCell ref="H159:H161"/>
    <mergeCell ref="B162:B165"/>
    <mergeCell ref="C162:C165"/>
    <mergeCell ref="F162:F165"/>
    <mergeCell ref="G162:G165"/>
    <mergeCell ref="H162:H165"/>
    <mergeCell ref="B166:B168"/>
    <mergeCell ref="C166:C168"/>
    <mergeCell ref="F166:F168"/>
    <mergeCell ref="G166:G168"/>
    <mergeCell ref="H166:H168"/>
    <mergeCell ref="B169:B171"/>
    <mergeCell ref="C169:C171"/>
    <mergeCell ref="F169:F171"/>
    <mergeCell ref="G169:G171"/>
    <mergeCell ref="G152:G153"/>
    <mergeCell ref="H152:H153"/>
    <mergeCell ref="A154:A155"/>
    <mergeCell ref="B154:B155"/>
    <mergeCell ref="C154:C155"/>
    <mergeCell ref="D154:D155"/>
    <mergeCell ref="E154:E155"/>
    <mergeCell ref="F154:F155"/>
    <mergeCell ref="G154:G155"/>
    <mergeCell ref="H154:H155"/>
    <mergeCell ref="A152:A153"/>
    <mergeCell ref="B152:B153"/>
    <mergeCell ref="C152:C153"/>
    <mergeCell ref="D152:D153"/>
    <mergeCell ref="E152:E153"/>
    <mergeCell ref="F152:F153"/>
    <mergeCell ref="G148:G149"/>
    <mergeCell ref="H148:H149"/>
    <mergeCell ref="A150:A151"/>
    <mergeCell ref="B150:B151"/>
    <mergeCell ref="C150:C151"/>
    <mergeCell ref="D150:D151"/>
    <mergeCell ref="E150:E151"/>
    <mergeCell ref="F150:F151"/>
    <mergeCell ref="G150:G151"/>
    <mergeCell ref="H150:H151"/>
    <mergeCell ref="A148:A149"/>
    <mergeCell ref="B148:B149"/>
    <mergeCell ref="C148:C149"/>
    <mergeCell ref="D148:D149"/>
    <mergeCell ref="E148:E149"/>
    <mergeCell ref="F148:F149"/>
    <mergeCell ref="G144:G145"/>
    <mergeCell ref="H144:H145"/>
    <mergeCell ref="A146:A147"/>
    <mergeCell ref="B146:B147"/>
    <mergeCell ref="C146:C147"/>
    <mergeCell ref="D146:D147"/>
    <mergeCell ref="E146:E147"/>
    <mergeCell ref="F146:F147"/>
    <mergeCell ref="G146:G147"/>
    <mergeCell ref="H146:H147"/>
    <mergeCell ref="A144:A145"/>
    <mergeCell ref="B144:B145"/>
    <mergeCell ref="C144:C145"/>
    <mergeCell ref="D144:D145"/>
    <mergeCell ref="E144:E145"/>
    <mergeCell ref="F144:F145"/>
    <mergeCell ref="G140:G141"/>
    <mergeCell ref="H140:H141"/>
    <mergeCell ref="A142:A143"/>
    <mergeCell ref="B142:B143"/>
    <mergeCell ref="C142:C143"/>
    <mergeCell ref="D142:D143"/>
    <mergeCell ref="E142:E143"/>
    <mergeCell ref="F142:F143"/>
    <mergeCell ref="G142:G143"/>
    <mergeCell ref="H142:H143"/>
    <mergeCell ref="A140:A141"/>
    <mergeCell ref="B140:B141"/>
    <mergeCell ref="C140:C141"/>
    <mergeCell ref="D140:D141"/>
    <mergeCell ref="E140:E141"/>
    <mergeCell ref="F140:F141"/>
    <mergeCell ref="G136:G137"/>
    <mergeCell ref="H136:H137"/>
    <mergeCell ref="A138:A139"/>
    <mergeCell ref="B138:B139"/>
    <mergeCell ref="C138:C139"/>
    <mergeCell ref="D138:D139"/>
    <mergeCell ref="E138:E139"/>
    <mergeCell ref="F138:F139"/>
    <mergeCell ref="G138:G139"/>
    <mergeCell ref="H138:H139"/>
    <mergeCell ref="A136:A137"/>
    <mergeCell ref="B136:B137"/>
    <mergeCell ref="C136:C137"/>
    <mergeCell ref="D136:D137"/>
    <mergeCell ref="E136:E137"/>
    <mergeCell ref="F136:F137"/>
    <mergeCell ref="G132:G133"/>
    <mergeCell ref="H132:H133"/>
    <mergeCell ref="A134:A135"/>
    <mergeCell ref="B134:B135"/>
    <mergeCell ref="C134:C135"/>
    <mergeCell ref="D134:D135"/>
    <mergeCell ref="E134:E135"/>
    <mergeCell ref="F134:F135"/>
    <mergeCell ref="G134:G135"/>
    <mergeCell ref="H134:H135"/>
    <mergeCell ref="A132:A133"/>
    <mergeCell ref="B132:B133"/>
    <mergeCell ref="C132:C133"/>
    <mergeCell ref="D132:D133"/>
    <mergeCell ref="E132:E133"/>
    <mergeCell ref="F132:F133"/>
    <mergeCell ref="G128:G129"/>
    <mergeCell ref="H128:H129"/>
    <mergeCell ref="A130:A131"/>
    <mergeCell ref="B130:B131"/>
    <mergeCell ref="C130:C131"/>
    <mergeCell ref="D130:D131"/>
    <mergeCell ref="E130:E131"/>
    <mergeCell ref="F130:F131"/>
    <mergeCell ref="G130:G131"/>
    <mergeCell ref="H130:H131"/>
    <mergeCell ref="A128:A129"/>
    <mergeCell ref="B128:B129"/>
    <mergeCell ref="C128:C129"/>
    <mergeCell ref="D128:D129"/>
    <mergeCell ref="E128:E129"/>
    <mergeCell ref="F128:F129"/>
    <mergeCell ref="G124:G125"/>
    <mergeCell ref="H124:H125"/>
    <mergeCell ref="A126:A127"/>
    <mergeCell ref="B126:B127"/>
    <mergeCell ref="C126:C127"/>
    <mergeCell ref="D126:D127"/>
    <mergeCell ref="E126:E127"/>
    <mergeCell ref="F126:F127"/>
    <mergeCell ref="G126:G127"/>
    <mergeCell ref="H126:H127"/>
    <mergeCell ref="A124:A125"/>
    <mergeCell ref="B124:B125"/>
    <mergeCell ref="C124:C125"/>
    <mergeCell ref="D124:D125"/>
    <mergeCell ref="E124:E125"/>
    <mergeCell ref="F124:F125"/>
    <mergeCell ref="G120:G121"/>
    <mergeCell ref="H120:H121"/>
    <mergeCell ref="A122:A123"/>
    <mergeCell ref="B122:B123"/>
    <mergeCell ref="C122:C123"/>
    <mergeCell ref="D122:D123"/>
    <mergeCell ref="E122:E123"/>
    <mergeCell ref="F122:F123"/>
    <mergeCell ref="G122:G123"/>
    <mergeCell ref="H122:H123"/>
    <mergeCell ref="A120:A121"/>
    <mergeCell ref="B120:B121"/>
    <mergeCell ref="C120:C121"/>
    <mergeCell ref="D120:D121"/>
    <mergeCell ref="E120:E121"/>
    <mergeCell ref="F120:F121"/>
    <mergeCell ref="G105:G106"/>
    <mergeCell ref="H105:H106"/>
    <mergeCell ref="A107:A119"/>
    <mergeCell ref="B107:B119"/>
    <mergeCell ref="C107:C119"/>
    <mergeCell ref="G107:G119"/>
    <mergeCell ref="A105:A106"/>
    <mergeCell ref="B105:B106"/>
    <mergeCell ref="C105:C106"/>
    <mergeCell ref="D105:D106"/>
    <mergeCell ref="E105:E106"/>
    <mergeCell ref="F105:F106"/>
    <mergeCell ref="G101:G102"/>
    <mergeCell ref="H101:H102"/>
    <mergeCell ref="A103:A104"/>
    <mergeCell ref="B103:B104"/>
    <mergeCell ref="C103:C104"/>
    <mergeCell ref="D103:D104"/>
    <mergeCell ref="E103:E104"/>
    <mergeCell ref="F103:F104"/>
    <mergeCell ref="G103:G104"/>
    <mergeCell ref="H103:H104"/>
    <mergeCell ref="A101:A102"/>
    <mergeCell ref="B101:B102"/>
    <mergeCell ref="C101:C102"/>
    <mergeCell ref="D101:D102"/>
    <mergeCell ref="E101:E102"/>
    <mergeCell ref="F101:F102"/>
    <mergeCell ref="H96:H98"/>
    <mergeCell ref="A99:A100"/>
    <mergeCell ref="B99:B100"/>
    <mergeCell ref="C99:C100"/>
    <mergeCell ref="D99:D100"/>
    <mergeCell ref="E99:E100"/>
    <mergeCell ref="F99:F100"/>
    <mergeCell ref="G99:G100"/>
    <mergeCell ref="H99:H100"/>
    <mergeCell ref="A96:A98"/>
    <mergeCell ref="B96:B98"/>
    <mergeCell ref="C96:C98"/>
    <mergeCell ref="E96:E98"/>
    <mergeCell ref="F96:F98"/>
    <mergeCell ref="G96:G98"/>
    <mergeCell ref="G92:G93"/>
    <mergeCell ref="H92:H93"/>
    <mergeCell ref="A94:A95"/>
    <mergeCell ref="B94:B95"/>
    <mergeCell ref="C94:C95"/>
    <mergeCell ref="E94:E95"/>
    <mergeCell ref="F94:F95"/>
    <mergeCell ref="G94:G95"/>
    <mergeCell ref="H94:H95"/>
    <mergeCell ref="A92:A93"/>
    <mergeCell ref="B92:B93"/>
    <mergeCell ref="C92:C93"/>
    <mergeCell ref="D92:D93"/>
    <mergeCell ref="E92:E93"/>
    <mergeCell ref="F92:F93"/>
    <mergeCell ref="G86:G88"/>
    <mergeCell ref="H86:H88"/>
    <mergeCell ref="A90:A91"/>
    <mergeCell ref="B90:B91"/>
    <mergeCell ref="C90:C91"/>
    <mergeCell ref="E90:E91"/>
    <mergeCell ref="F90:F91"/>
    <mergeCell ref="G90:G91"/>
    <mergeCell ref="H90:H91"/>
    <mergeCell ref="A86:A88"/>
    <mergeCell ref="B86:B88"/>
    <mergeCell ref="C86:C88"/>
    <mergeCell ref="D86:D88"/>
    <mergeCell ref="E86:E88"/>
    <mergeCell ref="F86:F88"/>
    <mergeCell ref="G82:G83"/>
    <mergeCell ref="H82:H83"/>
    <mergeCell ref="A84:A85"/>
    <mergeCell ref="B84:B85"/>
    <mergeCell ref="C84:C85"/>
    <mergeCell ref="D84:D85"/>
    <mergeCell ref="E84:E85"/>
    <mergeCell ref="F84:F85"/>
    <mergeCell ref="G84:G85"/>
    <mergeCell ref="H84:H85"/>
    <mergeCell ref="A82:A83"/>
    <mergeCell ref="B82:B83"/>
    <mergeCell ref="C82:C83"/>
    <mergeCell ref="D82:D83"/>
    <mergeCell ref="E82:E83"/>
    <mergeCell ref="F82:F83"/>
    <mergeCell ref="H78:H79"/>
    <mergeCell ref="A80:A81"/>
    <mergeCell ref="B80:B81"/>
    <mergeCell ref="C80:C81"/>
    <mergeCell ref="D80:D81"/>
    <mergeCell ref="E80:E81"/>
    <mergeCell ref="F80:F81"/>
    <mergeCell ref="G80:G81"/>
    <mergeCell ref="H80:H81"/>
    <mergeCell ref="B78:B79"/>
    <mergeCell ref="C78:C79"/>
    <mergeCell ref="D78:D79"/>
    <mergeCell ref="E78:E79"/>
    <mergeCell ref="F78:F79"/>
    <mergeCell ref="G78:G79"/>
    <mergeCell ref="G74:G75"/>
    <mergeCell ref="H74:H75"/>
    <mergeCell ref="A76:A77"/>
    <mergeCell ref="B76:B77"/>
    <mergeCell ref="C76:C77"/>
    <mergeCell ref="D76:D77"/>
    <mergeCell ref="E76:E77"/>
    <mergeCell ref="F76:F77"/>
    <mergeCell ref="G76:G77"/>
    <mergeCell ref="H76:H77"/>
    <mergeCell ref="A74:A75"/>
    <mergeCell ref="B74:B75"/>
    <mergeCell ref="C74:C75"/>
    <mergeCell ref="D74:D75"/>
    <mergeCell ref="E74:E75"/>
    <mergeCell ref="F74:F75"/>
    <mergeCell ref="A70:H70"/>
    <mergeCell ref="A72:A73"/>
    <mergeCell ref="B72:B73"/>
    <mergeCell ref="C72:C73"/>
    <mergeCell ref="D72:D73"/>
    <mergeCell ref="E72:E73"/>
    <mergeCell ref="F72:F73"/>
    <mergeCell ref="G72:G73"/>
    <mergeCell ref="H72:H7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28</vt:i4>
      </vt:variant>
    </vt:vector>
  </HeadingPairs>
  <TitlesOfParts>
    <vt:vector size="32" baseType="lpstr">
      <vt:lpstr>S3a</vt:lpstr>
      <vt:lpstr>S3b</vt:lpstr>
      <vt:lpstr>S3c</vt:lpstr>
      <vt:lpstr>S3d</vt:lpstr>
      <vt:lpstr>S3b!_Hlk482883393</vt:lpstr>
      <vt:lpstr>S3b!_Hlk482883594</vt:lpstr>
      <vt:lpstr>S3b!_Hlk482883617</vt:lpstr>
      <vt:lpstr>S3b!_Hlk482883644</vt:lpstr>
      <vt:lpstr>S3b!_Hlk482883707</vt:lpstr>
      <vt:lpstr>S3b!_Hlk482883731</vt:lpstr>
      <vt:lpstr>S3b!_Hlk482883764</vt:lpstr>
      <vt:lpstr>S3b!_Hlk482883785</vt:lpstr>
      <vt:lpstr>S3b!_Hlk482883809</vt:lpstr>
      <vt:lpstr>S3b!_Hlk482883870</vt:lpstr>
      <vt:lpstr>S3b!_Hlk482883981</vt:lpstr>
      <vt:lpstr>S3b!_Hlk482885402</vt:lpstr>
      <vt:lpstr>S3b!_Hlk482886512</vt:lpstr>
      <vt:lpstr>S3c!_Hlk482917296</vt:lpstr>
      <vt:lpstr>S3c!_Hlk482917316</vt:lpstr>
      <vt:lpstr>S3c!_Hlk482917754</vt:lpstr>
      <vt:lpstr>S3c!_Hlk482917776</vt:lpstr>
      <vt:lpstr>S3c!_Hlk482918977</vt:lpstr>
      <vt:lpstr>S3c!_Hlk482918998</vt:lpstr>
      <vt:lpstr>S3c!_Hlk482919019</vt:lpstr>
      <vt:lpstr>S3c!_Hlk482919037</vt:lpstr>
      <vt:lpstr>S3c!_Hlk482919110</vt:lpstr>
      <vt:lpstr>S3c!_Hlk482919130</vt:lpstr>
      <vt:lpstr>S3c!_Hlk482919149</vt:lpstr>
      <vt:lpstr>S3c!_Hlk482922486</vt:lpstr>
      <vt:lpstr>S3c!_Hlk482922519</vt:lpstr>
      <vt:lpstr>S3c!_Hlk482922583</vt:lpstr>
      <vt:lpstr>S3c!_Hlk484135281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crock</dc:creator>
  <cp:lastModifiedBy>crock</cp:lastModifiedBy>
  <dcterms:created xsi:type="dcterms:W3CDTF">2017-06-09T00:30:31Z</dcterms:created>
  <dcterms:modified xsi:type="dcterms:W3CDTF">2018-11-22T03:31:05Z</dcterms:modified>
</cp:coreProperties>
</file>