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Zijing\Dropbox\Lab Notes\RNAi screen\summaries\For submission\new figures\"/>
    </mc:Choice>
  </mc:AlternateContent>
  <bookViews>
    <workbookView xWindow="0" yWindow="0" windowWidth="19160" windowHeight="81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G44" i="1" l="1"/>
  <c r="F44" i="1"/>
  <c r="E44" i="1"/>
  <c r="F36" i="1"/>
  <c r="G36" i="1"/>
  <c r="E36" i="1"/>
  <c r="E41" i="1"/>
  <c r="G41" i="1"/>
  <c r="F17" i="1"/>
  <c r="G12" i="1"/>
  <c r="F12" i="1"/>
  <c r="F15" i="1"/>
  <c r="G16" i="1"/>
  <c r="F16" i="1"/>
  <c r="G7" i="1" l="1"/>
  <c r="D5" i="1" l="1"/>
  <c r="E5" i="1"/>
  <c r="G29" i="1"/>
  <c r="F29" i="1"/>
  <c r="E29" i="1"/>
  <c r="D29" i="1"/>
  <c r="G11" i="1"/>
  <c r="F11" i="1"/>
  <c r="G22" i="1"/>
  <c r="F22" i="1"/>
  <c r="E22" i="1"/>
  <c r="D22" i="1"/>
  <c r="G25" i="1"/>
  <c r="E25" i="1"/>
  <c r="F25" i="1"/>
  <c r="G47" i="1"/>
  <c r="F47" i="1"/>
  <c r="E47" i="1"/>
  <c r="D47" i="1"/>
  <c r="G21" i="1" l="1"/>
  <c r="F21" i="1"/>
  <c r="E21" i="1"/>
  <c r="D21" i="1"/>
  <c r="E24" i="1" l="1"/>
  <c r="E11" i="1" l="1"/>
  <c r="D33" i="1" l="1"/>
  <c r="G33" i="1"/>
  <c r="G18" i="1" l="1"/>
  <c r="F18" i="1"/>
  <c r="D18" i="1"/>
  <c r="F41" i="1" l="1"/>
  <c r="D41" i="1"/>
  <c r="G20" i="1" l="1"/>
  <c r="F20" i="1"/>
  <c r="E20" i="1"/>
  <c r="D20" i="1"/>
  <c r="G46" i="1"/>
  <c r="F46" i="1"/>
  <c r="E46" i="1"/>
  <c r="D46" i="1"/>
  <c r="G45" i="1"/>
  <c r="F45" i="1"/>
  <c r="E45" i="1"/>
  <c r="D45" i="1"/>
  <c r="D44" i="1"/>
  <c r="E43" i="1"/>
  <c r="D43" i="1"/>
  <c r="E42" i="1"/>
  <c r="D42" i="1"/>
  <c r="G39" i="1"/>
  <c r="F39" i="1"/>
  <c r="E39" i="1"/>
  <c r="D39" i="1"/>
  <c r="G38" i="1"/>
  <c r="F38" i="1"/>
  <c r="E38" i="1"/>
  <c r="D38" i="1"/>
  <c r="G37" i="1"/>
  <c r="F37" i="1"/>
  <c r="E37" i="1"/>
  <c r="D37" i="1"/>
  <c r="D36" i="1"/>
  <c r="G34" i="1"/>
  <c r="F34" i="1"/>
  <c r="D34" i="1"/>
  <c r="E32" i="1"/>
  <c r="D32" i="1"/>
  <c r="G31" i="1"/>
  <c r="F31" i="1"/>
  <c r="E31" i="1"/>
  <c r="F30" i="1"/>
  <c r="E30" i="1"/>
  <c r="D30" i="1"/>
  <c r="E28" i="1"/>
  <c r="D28" i="1"/>
  <c r="E27" i="1"/>
  <c r="D27" i="1"/>
  <c r="G26" i="1"/>
  <c r="F26" i="1"/>
  <c r="E26" i="1"/>
  <c r="D26" i="1"/>
  <c r="D25" i="1"/>
  <c r="F24" i="1"/>
  <c r="D24" i="1"/>
  <c r="E23" i="1"/>
  <c r="D23" i="1"/>
  <c r="G19" i="1"/>
  <c r="F19" i="1"/>
  <c r="E19" i="1"/>
  <c r="D19" i="1"/>
  <c r="G17" i="1"/>
  <c r="E17" i="1"/>
  <c r="D17" i="1"/>
  <c r="E16" i="1"/>
  <c r="D16" i="1"/>
  <c r="G15" i="1"/>
  <c r="E15" i="1"/>
  <c r="D15" i="1"/>
  <c r="G14" i="1"/>
  <c r="F14" i="1"/>
  <c r="E14" i="1"/>
  <c r="D14" i="1"/>
  <c r="G13" i="1"/>
  <c r="E13" i="1"/>
  <c r="D13" i="1"/>
  <c r="E12" i="1"/>
  <c r="D12" i="1"/>
  <c r="D11" i="1"/>
  <c r="E10" i="1"/>
  <c r="D10" i="1"/>
  <c r="E9" i="1"/>
  <c r="D9" i="1"/>
  <c r="E8" i="1"/>
  <c r="D8" i="1"/>
  <c r="E7" i="1"/>
  <c r="D7" i="1"/>
  <c r="E6" i="1"/>
  <c r="D6" i="1"/>
  <c r="F3" i="1"/>
  <c r="E3" i="1"/>
  <c r="D3" i="1"/>
</calcChain>
</file>

<file path=xl/sharedStrings.xml><?xml version="1.0" encoding="utf-8"?>
<sst xmlns="http://schemas.openxmlformats.org/spreadsheetml/2006/main" count="193" uniqueCount="115">
  <si>
    <t>stage of arrest</t>
  </si>
  <si>
    <t>TER94</t>
  </si>
  <si>
    <t>stage 2</t>
  </si>
  <si>
    <t>shot</t>
  </si>
  <si>
    <t>post stage 3</t>
  </si>
  <si>
    <t>stage 1</t>
  </si>
  <si>
    <t>mcm3</t>
  </si>
  <si>
    <t>Su(var)205</t>
  </si>
  <si>
    <t>pzg</t>
  </si>
  <si>
    <t>spag</t>
  </si>
  <si>
    <t>RPA2</t>
  </si>
  <si>
    <t>BRWD3</t>
  </si>
  <si>
    <t>stage1-2</t>
  </si>
  <si>
    <t>inaD</t>
  </si>
  <si>
    <t>CG9556</t>
  </si>
  <si>
    <t>spindly</t>
  </si>
  <si>
    <t>spc105r</t>
  </si>
  <si>
    <t>ball</t>
  </si>
  <si>
    <t>14-3-3e</t>
  </si>
  <si>
    <t>D1</t>
  </si>
  <si>
    <t>stage 1-5</t>
  </si>
  <si>
    <t>Nipped-B</t>
  </si>
  <si>
    <t>MTD-Gal4</t>
  </si>
  <si>
    <t>mrityu</t>
  </si>
  <si>
    <t>stage 1-2</t>
  </si>
  <si>
    <t>PyK</t>
  </si>
  <si>
    <t>alpha-adaptin</t>
  </si>
  <si>
    <t>myopic</t>
  </si>
  <si>
    <t>Bre1</t>
  </si>
  <si>
    <t>mod(mdg4)</t>
  </si>
  <si>
    <t>aub</t>
  </si>
  <si>
    <t>early stage 2</t>
  </si>
  <si>
    <t>eco</t>
  </si>
  <si>
    <t>Vps2</t>
  </si>
  <si>
    <t>MCPH1</t>
  </si>
  <si>
    <r>
      <rPr>
        <sz val="10"/>
        <color rgb="FF000000"/>
        <rFont val="Calibri"/>
        <family val="2"/>
      </rPr>
      <t>α</t>
    </r>
    <r>
      <rPr>
        <sz val="10"/>
        <color rgb="FF000000"/>
        <rFont val="Arial"/>
        <family val="2"/>
      </rPr>
      <t>Tub67C</t>
    </r>
  </si>
  <si>
    <t>axin</t>
  </si>
  <si>
    <t>msn</t>
  </si>
  <si>
    <t>Pk92B</t>
  </si>
  <si>
    <t>CG32088</t>
  </si>
  <si>
    <t>modulo</t>
  </si>
  <si>
    <t>rec</t>
  </si>
  <si>
    <t>Plutonium</t>
  </si>
  <si>
    <t>CG8223</t>
  </si>
  <si>
    <t>NUCB1</t>
  </si>
  <si>
    <t xml:space="preserve">Akap200 </t>
  </si>
  <si>
    <t>CG3689</t>
  </si>
  <si>
    <t>sle</t>
  </si>
  <si>
    <t>n</t>
  </si>
  <si>
    <t>stage 3</t>
  </si>
  <si>
    <t>AttP2</t>
  </si>
  <si>
    <t>mostly post stage 3</t>
  </si>
  <si>
    <t>mostly stage 3</t>
  </si>
  <si>
    <t>stage 3-4</t>
  </si>
  <si>
    <t>Mbs</t>
  </si>
  <si>
    <t>ana1</t>
  </si>
  <si>
    <t>stage 1-3</t>
  </si>
  <si>
    <t>Dlig-I</t>
  </si>
  <si>
    <t>abnormal chromosomes</t>
  </si>
  <si>
    <t>abnormal migration of nuclei in some stage 2-3 embryos</t>
  </si>
  <si>
    <t>no apparent abnormalities in stage 1-3 embryos</t>
  </si>
  <si>
    <t>Control</t>
  </si>
  <si>
    <t>phenotype description</t>
  </si>
  <si>
    <t xml:space="preserve">Acn </t>
  </si>
  <si>
    <t>stage 2-3</t>
  </si>
  <si>
    <t>stage 2-4</t>
  </si>
  <si>
    <t>NA</t>
  </si>
  <si>
    <t>p*</t>
  </si>
  <si>
    <r>
      <t>mat</t>
    </r>
    <r>
      <rPr>
        <sz val="11"/>
        <color theme="1"/>
        <rFont val="Calibri"/>
        <family val="2"/>
      </rPr>
      <t>α</t>
    </r>
    <r>
      <rPr>
        <sz val="8.8000000000000007"/>
        <color theme="1"/>
        <rFont val="Calibri"/>
        <family val="2"/>
      </rPr>
      <t>tub-Gal-VP16</t>
    </r>
  </si>
  <si>
    <r>
      <t>mat</t>
    </r>
    <r>
      <rPr>
        <sz val="11"/>
        <color theme="1"/>
        <rFont val="Calibri"/>
        <family val="2"/>
      </rPr>
      <t>α</t>
    </r>
    <r>
      <rPr>
        <sz val="8.8000000000000007"/>
        <color theme="1"/>
        <rFont val="Calibri"/>
        <family val="2"/>
      </rPr>
      <t>tub-Gal-VP16</t>
    </r>
    <r>
      <rPr>
        <sz val="11"/>
        <color theme="1"/>
        <rFont val="Calibri"/>
        <family val="2"/>
        <scheme val="minor"/>
      </rPr>
      <t/>
    </r>
  </si>
  <si>
    <t xml:space="preserve"> *p is the significance of the proportion of embryos that arrest in stage 1 and 2 of embryogenesis compare to that in the AttP2 control.</t>
  </si>
  <si>
    <t>stage1-early stage 2</t>
  </si>
  <si>
    <t>abnormal chromosome (27% embryos)</t>
  </si>
  <si>
    <t xml:space="preserve">abnormal chromosomes and aggregation of microtubules, abnormal spindle morphology </t>
  </si>
  <si>
    <t>chromosome aggregation, abnormal chromosome and spindle association</t>
  </si>
  <si>
    <t>abnormal chromosome morphology</t>
  </si>
  <si>
    <t>aggregation of DNA; abnormal chromosome morphology</t>
  </si>
  <si>
    <t>no apparent abnormalities in stage 1-4 embryos</t>
  </si>
  <si>
    <t>no apparent abnormalities in stage 1-4 embryos; likely arrest post stage 4</t>
  </si>
  <si>
    <t>Gene</t>
  </si>
  <si>
    <t>Driver</t>
  </si>
  <si>
    <t>Hatchability</t>
  </si>
  <si>
    <t>Stage1</t>
  </si>
  <si>
    <t>Stage2</t>
  </si>
  <si>
    <t>Stage3</t>
  </si>
  <si>
    <t>Post stage 4</t>
  </si>
  <si>
    <t>TableS4</t>
  </si>
  <si>
    <t>abnormal chromosomes,  aggregation of DNA</t>
  </si>
  <si>
    <t>absence of centrosomes from spindle poles in some early arrest embryos</t>
  </si>
  <si>
    <t>likely meiotic arrest, absence of centrosomes from spindle poles in many embryos, abnormal chromosomes</t>
  </si>
  <si>
    <t>Abnormal centrosome activity</t>
  </si>
  <si>
    <t>abnormal chromosome morphology, abnormal spindle morphology, asynchronized cell cycle in some embryos</t>
  </si>
  <si>
    <t>abnormal chromosome morphology; Abnormal centrosome activity</t>
  </si>
  <si>
    <t>Embryos small in size; abnormal spindle morphology; acentrosomal spindles in some embryos.</t>
  </si>
  <si>
    <t>multi-polar spindles; supernumerary centrosomes.</t>
  </si>
  <si>
    <t>abnormal chromosomes, acentrosomal spindles in some embryos.</t>
  </si>
  <si>
    <t>multi-polar spindles; supernumerary centrosomes; abnormal chromosomes</t>
  </si>
  <si>
    <t>abnormal spindle morphology; acentrosomal spindles.</t>
  </si>
  <si>
    <t>abnormal cell cycle synchronization, abnormal chromosome morphology, acentrosomal spindles.</t>
  </si>
  <si>
    <t>acentrosomal spindles.</t>
  </si>
  <si>
    <t>mostly post stage 3 arrest; abnormal chromosome morphology.</t>
  </si>
  <si>
    <t>abnormal spindles, acentrosomal spindles.</t>
  </si>
  <si>
    <t>abnormal chromosome; abnormal spindle morphology; acentrosomal spindles.</t>
  </si>
  <si>
    <t>abnormal chromosomes, abnormal spindle morphology, acentrosomal spindles.</t>
  </si>
  <si>
    <t>abnormal chromosome segregation, abnormal spindle morphology, acentrosomal spindles.</t>
  </si>
  <si>
    <t>multi-polar spindles; abnormal centrosome aggregations; abnormal chromosome morphology.</t>
  </si>
  <si>
    <t>abnormal migration of nuclei in late stage 2 embryos, abnormal centrosomes aggregations in stage 3-4 embryos</t>
  </si>
  <si>
    <t>abnormal chromosomes.</t>
  </si>
  <si>
    <t>arrest in metaphase of first mitosis with abnormal spindle structure.</t>
  </si>
  <si>
    <t>no apparent abnormalities in stage 1-4 embryos.</t>
  </si>
  <si>
    <t>acentrosomal spindles; abnormal spindle structure; abnormal chromosome morphology.</t>
  </si>
  <si>
    <t xml:space="preserve">No apparent abnormalities in early embryos. </t>
  </si>
  <si>
    <t>embryos small in size; abnormal chromosome morphology, acentrosomal spindles.</t>
  </si>
  <si>
    <t>Abnormal chromosome morphology.</t>
  </si>
  <si>
    <t>Table S4. Summary of developmental arrest phenotypes in the embryos produced by maternal knockdown of 43 genes (hatchability &lt;= 50%).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</si>
</sst>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.8000000000000007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0" applyNumberFormat="1" applyFill="1" applyBorder="1" applyAlignment="1">
      <alignment vertical="center" wrapText="1"/>
    </xf>
    <xf numFmtId="1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9" fontId="0" fillId="0" borderId="0" xfId="2" applyNumberFormat="1" applyFont="1" applyFill="1" applyBorder="1" applyAlignment="1">
      <alignment vertical="center"/>
    </xf>
    <xf numFmtId="0" fontId="0" fillId="0" borderId="0" xfId="0" applyFill="1"/>
    <xf numFmtId="1" fontId="0" fillId="0" borderId="0" xfId="0" applyNumberFormat="1" applyFill="1" applyBorder="1" applyAlignment="1">
      <alignment vertical="center"/>
    </xf>
    <xf numFmtId="0" fontId="1" fillId="0" borderId="0" xfId="0" applyFont="1" applyFill="1"/>
    <xf numFmtId="9" fontId="1" fillId="0" borderId="0" xfId="2" applyNumberFormat="1" applyFont="1" applyFill="1"/>
    <xf numFmtId="11" fontId="0" fillId="0" borderId="0" xfId="0" applyNumberFormat="1" applyFill="1"/>
    <xf numFmtId="9" fontId="0" fillId="0" borderId="0" xfId="2" applyNumberFormat="1" applyFont="1" applyFill="1"/>
    <xf numFmtId="9" fontId="0" fillId="0" borderId="0" xfId="0" applyNumberFormat="1" applyFill="1"/>
    <xf numFmtId="10" fontId="2" fillId="0" borderId="0" xfId="1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80" zoomScaleNormal="80" workbookViewId="0">
      <selection activeCell="I10" sqref="I10"/>
    </sheetView>
  </sheetViews>
  <sheetFormatPr defaultRowHeight="14.5" x14ac:dyDescent="0.35"/>
  <cols>
    <col min="1" max="1" width="15.08984375" style="10" customWidth="1"/>
    <col min="2" max="2" width="15.90625" style="10" customWidth="1"/>
    <col min="3" max="3" width="12.36328125" style="10" customWidth="1"/>
    <col min="4" max="4" width="13.7265625" style="15" customWidth="1"/>
    <col min="5" max="5" width="12.7265625" style="15" customWidth="1"/>
    <col min="6" max="6" width="12.54296875" style="15" customWidth="1"/>
    <col min="7" max="7" width="13.54296875" style="15" customWidth="1"/>
    <col min="8" max="8" width="8.7265625" style="10"/>
    <col min="9" max="9" width="12.08984375" style="10" customWidth="1"/>
    <col min="10" max="10" width="22.7265625" style="10" customWidth="1"/>
    <col min="11" max="11" width="123.36328125" style="10" customWidth="1"/>
    <col min="12" max="16384" width="8.7265625" style="10"/>
  </cols>
  <sheetData>
    <row r="1" spans="1:11" s="12" customFormat="1" x14ac:dyDescent="0.35">
      <c r="A1" s="12" t="s">
        <v>86</v>
      </c>
      <c r="D1" s="13"/>
      <c r="E1" s="13"/>
      <c r="F1" s="13"/>
      <c r="G1" s="13"/>
    </row>
    <row r="2" spans="1:11" x14ac:dyDescent="0.35">
      <c r="A2" s="19" t="s">
        <v>79</v>
      </c>
      <c r="B2" s="3" t="s">
        <v>80</v>
      </c>
      <c r="C2" s="3" t="s">
        <v>81</v>
      </c>
      <c r="D2" s="9" t="s">
        <v>82</v>
      </c>
      <c r="E2" s="9" t="s">
        <v>83</v>
      </c>
      <c r="F2" s="9" t="s">
        <v>84</v>
      </c>
      <c r="G2" s="9" t="s">
        <v>85</v>
      </c>
      <c r="H2" s="3" t="s">
        <v>48</v>
      </c>
      <c r="I2" s="3" t="s">
        <v>67</v>
      </c>
      <c r="J2" s="3" t="s">
        <v>0</v>
      </c>
      <c r="K2" s="3" t="s">
        <v>62</v>
      </c>
    </row>
    <row r="3" spans="1:11" x14ac:dyDescent="0.35">
      <c r="A3" s="3" t="s">
        <v>1</v>
      </c>
      <c r="B3" s="10" t="s">
        <v>68</v>
      </c>
      <c r="C3" s="3">
        <v>0</v>
      </c>
      <c r="D3" s="9">
        <f>2/21</f>
        <v>9.5238095238095233E-2</v>
      </c>
      <c r="E3" s="9">
        <f>18/21</f>
        <v>0.8571428571428571</v>
      </c>
      <c r="F3" s="9">
        <f>1/21</f>
        <v>4.7619047619047616E-2</v>
      </c>
      <c r="G3" s="9">
        <v>0</v>
      </c>
      <c r="H3" s="3">
        <v>21</v>
      </c>
      <c r="I3" s="14">
        <v>5.9636240571982199E-11</v>
      </c>
      <c r="J3" s="3" t="s">
        <v>2</v>
      </c>
      <c r="K3" s="10" t="s">
        <v>96</v>
      </c>
    </row>
    <row r="4" spans="1:11" x14ac:dyDescent="0.35">
      <c r="A4" s="3" t="s">
        <v>3</v>
      </c>
      <c r="B4" s="10" t="s">
        <v>68</v>
      </c>
      <c r="C4" s="3">
        <v>0</v>
      </c>
      <c r="D4" s="9">
        <v>0.04</v>
      </c>
      <c r="E4" s="9">
        <v>0.15</v>
      </c>
      <c r="F4" s="9">
        <v>0.04</v>
      </c>
      <c r="G4" s="9">
        <v>0.78</v>
      </c>
      <c r="H4" s="3">
        <v>27</v>
      </c>
      <c r="I4" s="10">
        <v>0.27566669999999999</v>
      </c>
      <c r="J4" s="3" t="s">
        <v>4</v>
      </c>
      <c r="K4" s="10" t="s">
        <v>60</v>
      </c>
    </row>
    <row r="5" spans="1:11" x14ac:dyDescent="0.35">
      <c r="A5" s="3" t="s">
        <v>57</v>
      </c>
      <c r="B5" s="10" t="s">
        <v>69</v>
      </c>
      <c r="C5" s="3">
        <v>0</v>
      </c>
      <c r="D5" s="9">
        <f>30/36</f>
        <v>0.83333333333333337</v>
      </c>
      <c r="E5" s="9">
        <f>6/36</f>
        <v>0.16666666666666666</v>
      </c>
      <c r="F5" s="9">
        <v>0</v>
      </c>
      <c r="G5" s="9">
        <v>0</v>
      </c>
      <c r="H5" s="3">
        <v>36</v>
      </c>
      <c r="I5" s="14">
        <v>1.20111139387523E-16</v>
      </c>
      <c r="J5" s="3" t="s">
        <v>5</v>
      </c>
      <c r="K5" s="10" t="s">
        <v>72</v>
      </c>
    </row>
    <row r="6" spans="1:11" x14ac:dyDescent="0.35">
      <c r="A6" s="3" t="s">
        <v>6</v>
      </c>
      <c r="B6" s="10" t="s">
        <v>69</v>
      </c>
      <c r="C6" s="3">
        <v>0</v>
      </c>
      <c r="D6" s="9">
        <f>20/25</f>
        <v>0.8</v>
      </c>
      <c r="E6" s="9">
        <f>5/25</f>
        <v>0.2</v>
      </c>
      <c r="F6" s="9">
        <v>0</v>
      </c>
      <c r="G6" s="9">
        <v>0</v>
      </c>
      <c r="H6" s="3">
        <v>25</v>
      </c>
      <c r="I6" s="14">
        <v>1.0414541275358199E-13</v>
      </c>
      <c r="J6" s="3" t="s">
        <v>5</v>
      </c>
      <c r="K6" s="10" t="s">
        <v>58</v>
      </c>
    </row>
    <row r="7" spans="1:11" x14ac:dyDescent="0.35">
      <c r="A7" s="3" t="s">
        <v>15</v>
      </c>
      <c r="B7" s="10" t="s">
        <v>69</v>
      </c>
      <c r="C7" s="3">
        <v>0</v>
      </c>
      <c r="D7" s="9">
        <f>14/26</f>
        <v>0.53846153846153844</v>
      </c>
      <c r="E7" s="9">
        <f>10/26</f>
        <v>0.38461538461538464</v>
      </c>
      <c r="F7" s="9">
        <v>0</v>
      </c>
      <c r="G7" s="9">
        <f>2/26</f>
        <v>7.6923076923076927E-2</v>
      </c>
      <c r="H7" s="3">
        <v>26</v>
      </c>
      <c r="I7" s="14">
        <v>1.7356425318869302E-11</v>
      </c>
      <c r="J7" s="3" t="s">
        <v>24</v>
      </c>
      <c r="K7" s="10" t="s">
        <v>97</v>
      </c>
    </row>
    <row r="8" spans="1:11" x14ac:dyDescent="0.35">
      <c r="A8" s="3" t="s">
        <v>16</v>
      </c>
      <c r="B8" s="10" t="s">
        <v>69</v>
      </c>
      <c r="C8" s="3">
        <v>0</v>
      </c>
      <c r="D8" s="9">
        <f>31/34</f>
        <v>0.91176470588235292</v>
      </c>
      <c r="E8" s="9">
        <f>3/34</f>
        <v>8.8235294117647065E-2</v>
      </c>
      <c r="F8" s="9">
        <v>0</v>
      </c>
      <c r="G8" s="9">
        <v>0</v>
      </c>
      <c r="H8" s="3">
        <v>34</v>
      </c>
      <c r="I8" s="14">
        <v>3.3792807100758901E-16</v>
      </c>
      <c r="J8" s="3" t="s">
        <v>5</v>
      </c>
      <c r="K8" s="10" t="s">
        <v>87</v>
      </c>
    </row>
    <row r="9" spans="1:11" x14ac:dyDescent="0.35">
      <c r="A9" s="3" t="s">
        <v>17</v>
      </c>
      <c r="B9" s="10" t="s">
        <v>69</v>
      </c>
      <c r="C9" s="3">
        <v>0</v>
      </c>
      <c r="D9" s="15">
        <f>25/28</f>
        <v>0.8928571428571429</v>
      </c>
      <c r="E9" s="15">
        <f>3/28</f>
        <v>0.10714285714285714</v>
      </c>
      <c r="F9" s="15">
        <v>0</v>
      </c>
      <c r="G9" s="15">
        <v>0</v>
      </c>
      <c r="H9" s="3">
        <v>28</v>
      </c>
      <c r="I9" s="14">
        <v>1.4084525688813E-14</v>
      </c>
      <c r="J9" s="3" t="s">
        <v>5</v>
      </c>
      <c r="K9" s="10" t="s">
        <v>58</v>
      </c>
    </row>
    <row r="10" spans="1:11" x14ac:dyDescent="0.35">
      <c r="A10" s="3" t="s">
        <v>18</v>
      </c>
      <c r="B10" s="10" t="s">
        <v>69</v>
      </c>
      <c r="C10" s="3">
        <v>0</v>
      </c>
      <c r="D10" s="15">
        <f>3/21</f>
        <v>0.14285714285714285</v>
      </c>
      <c r="E10" s="15">
        <f>18/21</f>
        <v>0.8571428571428571</v>
      </c>
      <c r="F10" s="15">
        <v>0</v>
      </c>
      <c r="G10" s="15">
        <v>0</v>
      </c>
      <c r="H10" s="3">
        <v>21</v>
      </c>
      <c r="I10" s="14">
        <v>2.2573389956441501E-12</v>
      </c>
      <c r="J10" s="3" t="s">
        <v>2</v>
      </c>
      <c r="K10" s="10" t="s">
        <v>73</v>
      </c>
    </row>
    <row r="11" spans="1:11" x14ac:dyDescent="0.35">
      <c r="A11" s="3" t="s">
        <v>10</v>
      </c>
      <c r="B11" s="10" t="s">
        <v>69</v>
      </c>
      <c r="C11" s="2">
        <v>1.2999999999999999E-2</v>
      </c>
      <c r="D11" s="15">
        <f>3/23</f>
        <v>0.13043478260869565</v>
      </c>
      <c r="E11" s="15">
        <f>3/23</f>
        <v>0.13043478260869565</v>
      </c>
      <c r="F11" s="15">
        <f>8/23</f>
        <v>0.34782608695652173</v>
      </c>
      <c r="G11" s="15">
        <f>9/23</f>
        <v>0.39130434782608697</v>
      </c>
      <c r="H11" s="3">
        <v>23</v>
      </c>
      <c r="I11" s="10">
        <v>0.11516551951967501</v>
      </c>
      <c r="J11" s="3" t="s">
        <v>64</v>
      </c>
      <c r="K11" s="10" t="s">
        <v>74</v>
      </c>
    </row>
    <row r="12" spans="1:11" x14ac:dyDescent="0.35">
      <c r="A12" s="3" t="s">
        <v>14</v>
      </c>
      <c r="B12" s="10" t="s">
        <v>69</v>
      </c>
      <c r="C12" s="2">
        <v>8.1199999999999994E-2</v>
      </c>
      <c r="D12" s="15">
        <f>2/55</f>
        <v>3.6363636363636362E-2</v>
      </c>
      <c r="E12" s="15">
        <f>12/55</f>
        <v>0.21818181818181817</v>
      </c>
      <c r="F12" s="15">
        <f>12/55</f>
        <v>0.21818181818181817</v>
      </c>
      <c r="G12" s="15">
        <f>29/55</f>
        <v>0.52727272727272723</v>
      </c>
      <c r="H12" s="3">
        <v>55</v>
      </c>
      <c r="I12" s="10">
        <v>5.8861181574674903E-2</v>
      </c>
      <c r="J12" s="3" t="s">
        <v>4</v>
      </c>
      <c r="K12" s="10" t="s">
        <v>59</v>
      </c>
    </row>
    <row r="13" spans="1:11" x14ac:dyDescent="0.35">
      <c r="A13" s="3" t="s">
        <v>8</v>
      </c>
      <c r="B13" s="10" t="s">
        <v>69</v>
      </c>
      <c r="C13" s="4">
        <v>0.1</v>
      </c>
      <c r="D13" s="15">
        <f>1/22</f>
        <v>4.5454545454545456E-2</v>
      </c>
      <c r="E13" s="15">
        <f>20/22</f>
        <v>0.90909090909090906</v>
      </c>
      <c r="F13" s="15">
        <v>0</v>
      </c>
      <c r="G13" s="15">
        <f>1/22</f>
        <v>4.5454545454545456E-2</v>
      </c>
      <c r="H13" s="3">
        <v>22</v>
      </c>
      <c r="I13" s="14">
        <v>2.6335621615848301E-11</v>
      </c>
      <c r="J13" s="3" t="s">
        <v>2</v>
      </c>
      <c r="K13" s="10" t="s">
        <v>98</v>
      </c>
    </row>
    <row r="14" spans="1:11" x14ac:dyDescent="0.35">
      <c r="A14" s="3" t="s">
        <v>9</v>
      </c>
      <c r="B14" s="10" t="s">
        <v>69</v>
      </c>
      <c r="C14" s="2">
        <v>0.14299999999999999</v>
      </c>
      <c r="D14" s="15">
        <f>9/72</f>
        <v>0.125</v>
      </c>
      <c r="E14" s="15">
        <f>14/72</f>
        <v>0.19444444444444445</v>
      </c>
      <c r="F14" s="15">
        <f>15/72</f>
        <v>0.20833333333333334</v>
      </c>
      <c r="G14" s="15">
        <f>34/72</f>
        <v>0.47222222222222221</v>
      </c>
      <c r="H14" s="3">
        <v>72</v>
      </c>
      <c r="I14" s="10">
        <v>9.5721524191264805E-3</v>
      </c>
      <c r="J14" s="3" t="s">
        <v>56</v>
      </c>
      <c r="K14" s="10" t="s">
        <v>99</v>
      </c>
    </row>
    <row r="15" spans="1:11" x14ac:dyDescent="0.35">
      <c r="A15" s="3" t="s">
        <v>11</v>
      </c>
      <c r="B15" s="10" t="s">
        <v>69</v>
      </c>
      <c r="C15" s="2">
        <v>0.14299999999999999</v>
      </c>
      <c r="D15" s="15">
        <f>23/60</f>
        <v>0.38333333333333336</v>
      </c>
      <c r="E15" s="15">
        <f>8/60</f>
        <v>0.13333333333333333</v>
      </c>
      <c r="F15" s="15">
        <f>13/60</f>
        <v>0.21666666666666667</v>
      </c>
      <c r="G15" s="15">
        <f>16/60</f>
        <v>0.26666666666666666</v>
      </c>
      <c r="H15" s="3">
        <v>60</v>
      </c>
      <c r="I15" s="14">
        <v>1.3483193660527399E-5</v>
      </c>
      <c r="J15" s="3" t="s">
        <v>12</v>
      </c>
      <c r="K15" s="10" t="s">
        <v>75</v>
      </c>
    </row>
    <row r="16" spans="1:11" x14ac:dyDescent="0.35">
      <c r="A16" s="3" t="s">
        <v>19</v>
      </c>
      <c r="B16" s="10" t="s">
        <v>69</v>
      </c>
      <c r="C16" s="4">
        <v>0.24</v>
      </c>
      <c r="D16" s="15">
        <f>4/27</f>
        <v>0.14814814814814814</v>
      </c>
      <c r="E16" s="15">
        <f>4/27</f>
        <v>0.14814814814814814</v>
      </c>
      <c r="F16" s="15">
        <f>9/27</f>
        <v>0.33333333333333331</v>
      </c>
      <c r="G16" s="15">
        <f>10/27</f>
        <v>0.37037037037037035</v>
      </c>
      <c r="H16" s="3">
        <v>27</v>
      </c>
      <c r="I16" s="10">
        <v>5.4030417055436299E-2</v>
      </c>
      <c r="J16" s="3" t="s">
        <v>20</v>
      </c>
      <c r="K16" s="10" t="s">
        <v>100</v>
      </c>
    </row>
    <row r="17" spans="1:11" x14ac:dyDescent="0.35">
      <c r="A17" s="3" t="s">
        <v>13</v>
      </c>
      <c r="B17" s="10" t="s">
        <v>69</v>
      </c>
      <c r="C17" s="2">
        <v>0.374</v>
      </c>
      <c r="D17" s="15">
        <f>2/24</f>
        <v>8.3333333333333329E-2</v>
      </c>
      <c r="E17" s="15">
        <f>1/24</f>
        <v>4.1666666666666664E-2</v>
      </c>
      <c r="F17" s="15">
        <f>5/24</f>
        <v>0.20833333333333334</v>
      </c>
      <c r="G17" s="15">
        <f>16/24</f>
        <v>0.66666666666666663</v>
      </c>
      <c r="H17" s="3">
        <v>24</v>
      </c>
      <c r="I17" s="10">
        <v>0.57848708520965597</v>
      </c>
      <c r="J17" s="3" t="s">
        <v>4</v>
      </c>
      <c r="K17" s="10" t="s">
        <v>60</v>
      </c>
    </row>
    <row r="18" spans="1:11" x14ac:dyDescent="0.35">
      <c r="A18" s="3" t="s">
        <v>54</v>
      </c>
      <c r="B18" s="10" t="s">
        <v>69</v>
      </c>
      <c r="C18" s="2">
        <v>0</v>
      </c>
      <c r="D18" s="15">
        <f>12/30</f>
        <v>0.4</v>
      </c>
      <c r="E18" s="15">
        <v>0.4</v>
      </c>
      <c r="F18" s="15">
        <f>4/30</f>
        <v>0.13333333333333333</v>
      </c>
      <c r="G18" s="15">
        <f>2/30</f>
        <v>6.6666666666666666E-2</v>
      </c>
      <c r="H18" s="3">
        <v>30</v>
      </c>
      <c r="I18" s="14">
        <v>3.4135553947551899E-9</v>
      </c>
      <c r="J18" s="3" t="s">
        <v>24</v>
      </c>
      <c r="K18" s="10" t="s">
        <v>101</v>
      </c>
    </row>
    <row r="19" spans="1:11" x14ac:dyDescent="0.35">
      <c r="A19" s="3" t="s">
        <v>7</v>
      </c>
      <c r="B19" s="10" t="s">
        <v>69</v>
      </c>
      <c r="C19" s="2">
        <v>0.48699999999999999</v>
      </c>
      <c r="D19" s="15">
        <f>2/15</f>
        <v>0.13333333333333333</v>
      </c>
      <c r="E19" s="15">
        <f>6/15</f>
        <v>0.4</v>
      </c>
      <c r="F19" s="15">
        <f>1/15</f>
        <v>6.6666666666666666E-2</v>
      </c>
      <c r="G19" s="15">
        <f>6/15</f>
        <v>0.4</v>
      </c>
      <c r="H19" s="3">
        <v>15</v>
      </c>
      <c r="I19" s="10">
        <v>2.1588152634710199E-3</v>
      </c>
      <c r="J19" s="3" t="s">
        <v>2</v>
      </c>
      <c r="K19" s="10" t="s">
        <v>104</v>
      </c>
    </row>
    <row r="20" spans="1:11" x14ac:dyDescent="0.35">
      <c r="A20" s="7" t="s">
        <v>50</v>
      </c>
      <c r="B20" s="10" t="s">
        <v>69</v>
      </c>
      <c r="C20" s="16">
        <v>1</v>
      </c>
      <c r="D20" s="15">
        <f>3/41</f>
        <v>7.3170731707317069E-2</v>
      </c>
      <c r="E20" s="15">
        <f>1/41</f>
        <v>2.4390243902439025E-2</v>
      </c>
      <c r="F20" s="15">
        <f>2/41</f>
        <v>4.878048780487805E-2</v>
      </c>
      <c r="G20" s="15">
        <f>35/41</f>
        <v>0.85365853658536583</v>
      </c>
      <c r="H20" s="3">
        <v>41</v>
      </c>
      <c r="I20" s="10" t="s">
        <v>66</v>
      </c>
      <c r="J20" s="3"/>
    </row>
    <row r="21" spans="1:11" x14ac:dyDescent="0.35">
      <c r="A21" s="5" t="s">
        <v>28</v>
      </c>
      <c r="B21" s="10" t="s">
        <v>69</v>
      </c>
      <c r="C21" s="11">
        <v>0</v>
      </c>
      <c r="D21" s="15">
        <f>15/35</f>
        <v>0.42857142857142855</v>
      </c>
      <c r="E21" s="15">
        <f>10/35</f>
        <v>0.2857142857142857</v>
      </c>
      <c r="F21" s="15">
        <f>9/35</f>
        <v>0.25714285714285712</v>
      </c>
      <c r="G21" s="15">
        <f>1/35</f>
        <v>2.8571428571428571E-2</v>
      </c>
      <c r="H21" s="3">
        <v>35</v>
      </c>
      <c r="I21" s="14">
        <v>4.6301369290358896E-9</v>
      </c>
      <c r="J21" s="3" t="s">
        <v>56</v>
      </c>
      <c r="K21" s="10" t="s">
        <v>102</v>
      </c>
    </row>
    <row r="22" spans="1:11" x14ac:dyDescent="0.35">
      <c r="A22" s="5" t="s">
        <v>21</v>
      </c>
      <c r="B22" s="6" t="s">
        <v>22</v>
      </c>
      <c r="C22" s="11">
        <v>0</v>
      </c>
      <c r="D22" s="15">
        <f>5/43</f>
        <v>0.11627906976744186</v>
      </c>
      <c r="E22" s="15">
        <f>6/43</f>
        <v>0.13953488372093023</v>
      </c>
      <c r="F22" s="15">
        <f>9/43</f>
        <v>0.20930232558139536</v>
      </c>
      <c r="G22" s="15">
        <f>23/43</f>
        <v>0.53488372093023251</v>
      </c>
      <c r="H22" s="3">
        <v>43</v>
      </c>
      <c r="I22" s="10">
        <v>3.8688985332891397E-2</v>
      </c>
      <c r="J22" s="3" t="s">
        <v>20</v>
      </c>
      <c r="K22" s="10" t="s">
        <v>88</v>
      </c>
    </row>
    <row r="23" spans="1:11" x14ac:dyDescent="0.35">
      <c r="A23" s="5" t="s">
        <v>23</v>
      </c>
      <c r="B23" s="6" t="s">
        <v>22</v>
      </c>
      <c r="C23" s="11">
        <v>0</v>
      </c>
      <c r="D23" s="15">
        <f>27/31</f>
        <v>0.87096774193548387</v>
      </c>
      <c r="E23" s="15">
        <f>4/31</f>
        <v>0.12903225806451613</v>
      </c>
      <c r="F23" s="15">
        <v>0</v>
      </c>
      <c r="G23" s="15">
        <v>0</v>
      </c>
      <c r="H23" s="3">
        <v>31</v>
      </c>
      <c r="I23" s="14">
        <v>1.20111139387523E-16</v>
      </c>
      <c r="J23" s="3" t="s">
        <v>24</v>
      </c>
      <c r="K23" s="10" t="s">
        <v>88</v>
      </c>
    </row>
    <row r="24" spans="1:11" x14ac:dyDescent="0.35">
      <c r="A24" s="5" t="s">
        <v>25</v>
      </c>
      <c r="B24" s="6" t="s">
        <v>22</v>
      </c>
      <c r="C24" s="11">
        <v>0</v>
      </c>
      <c r="D24" s="15">
        <f>22/48</f>
        <v>0.45833333333333331</v>
      </c>
      <c r="E24" s="15">
        <f>25/48</f>
        <v>0.52083333333333337</v>
      </c>
      <c r="F24" s="15">
        <f>1/48</f>
        <v>2.0833333333333332E-2</v>
      </c>
      <c r="G24" s="15">
        <v>0</v>
      </c>
      <c r="H24" s="3">
        <v>48</v>
      </c>
      <c r="I24" s="14">
        <v>8.05354394730109E-20</v>
      </c>
      <c r="J24" s="3" t="s">
        <v>24</v>
      </c>
      <c r="K24" s="10" t="s">
        <v>89</v>
      </c>
    </row>
    <row r="25" spans="1:11" x14ac:dyDescent="0.35">
      <c r="A25" s="5" t="s">
        <v>26</v>
      </c>
      <c r="B25" s="6" t="s">
        <v>22</v>
      </c>
      <c r="C25" s="11">
        <v>0</v>
      </c>
      <c r="D25" s="15">
        <f>2/45</f>
        <v>4.4444444444444446E-2</v>
      </c>
      <c r="E25" s="15">
        <f>2/45</f>
        <v>4.4444444444444446E-2</v>
      </c>
      <c r="F25" s="15">
        <f>5/45</f>
        <v>0.1111111111111111</v>
      </c>
      <c r="G25" s="15">
        <f>36/45</f>
        <v>0.8</v>
      </c>
      <c r="H25" s="3">
        <v>45</v>
      </c>
      <c r="I25" s="10">
        <v>0.64815806073534299</v>
      </c>
      <c r="J25" s="3" t="s">
        <v>53</v>
      </c>
      <c r="K25" s="10" t="s">
        <v>90</v>
      </c>
    </row>
    <row r="26" spans="1:11" x14ac:dyDescent="0.35">
      <c r="A26" s="5" t="s">
        <v>27</v>
      </c>
      <c r="B26" s="6" t="s">
        <v>22</v>
      </c>
      <c r="C26" s="11">
        <v>0</v>
      </c>
      <c r="D26" s="15">
        <f>11/61</f>
        <v>0.18032786885245902</v>
      </c>
      <c r="E26" s="15">
        <f>5/61</f>
        <v>8.1967213114754092E-2</v>
      </c>
      <c r="F26" s="15">
        <f>25/61</f>
        <v>0.4098360655737705</v>
      </c>
      <c r="G26" s="15">
        <f>20/61</f>
        <v>0.32786885245901637</v>
      </c>
      <c r="H26" s="3">
        <v>61</v>
      </c>
      <c r="I26" s="10">
        <v>2.2226476775429601E-2</v>
      </c>
      <c r="J26" s="3" t="s">
        <v>49</v>
      </c>
      <c r="K26" s="10" t="s">
        <v>90</v>
      </c>
    </row>
    <row r="27" spans="1:11" x14ac:dyDescent="0.35">
      <c r="A27" s="5" t="s">
        <v>29</v>
      </c>
      <c r="B27" s="6" t="s">
        <v>22</v>
      </c>
      <c r="C27" s="11">
        <v>0</v>
      </c>
      <c r="D27" s="15">
        <f>15/26</f>
        <v>0.57692307692307687</v>
      </c>
      <c r="E27" s="15">
        <f>11/26</f>
        <v>0.42307692307692307</v>
      </c>
      <c r="F27" s="15">
        <v>0</v>
      </c>
      <c r="G27" s="15">
        <v>0</v>
      </c>
      <c r="H27" s="3">
        <v>26</v>
      </c>
      <c r="I27" s="14">
        <v>3.1799020445000999E-15</v>
      </c>
      <c r="J27" s="3" t="s">
        <v>5</v>
      </c>
      <c r="K27" s="10" t="s">
        <v>103</v>
      </c>
    </row>
    <row r="28" spans="1:11" x14ac:dyDescent="0.35">
      <c r="A28" s="7" t="s">
        <v>30</v>
      </c>
      <c r="B28" s="6" t="s">
        <v>22</v>
      </c>
      <c r="C28" s="11">
        <v>0</v>
      </c>
      <c r="D28" s="15">
        <f>19/28</f>
        <v>0.6785714285714286</v>
      </c>
      <c r="E28" s="15">
        <f>9/28</f>
        <v>0.32142857142857145</v>
      </c>
      <c r="F28" s="15">
        <v>0</v>
      </c>
      <c r="G28" s="15">
        <v>0</v>
      </c>
      <c r="H28" s="3">
        <v>28</v>
      </c>
      <c r="I28" s="14">
        <v>6.6409743750401397E-16</v>
      </c>
      <c r="J28" s="3" t="s">
        <v>71</v>
      </c>
      <c r="K28" s="10" t="s">
        <v>91</v>
      </c>
    </row>
    <row r="29" spans="1:11" x14ac:dyDescent="0.35">
      <c r="A29" s="7" t="s">
        <v>32</v>
      </c>
      <c r="B29" s="6" t="s">
        <v>22</v>
      </c>
      <c r="C29" s="11">
        <v>0</v>
      </c>
      <c r="D29" s="15">
        <f>1/24</f>
        <v>4.1666666666666664E-2</v>
      </c>
      <c r="E29" s="15">
        <f>15/24</f>
        <v>0.625</v>
      </c>
      <c r="F29" s="15">
        <f>3/24</f>
        <v>0.125</v>
      </c>
      <c r="G29" s="15">
        <f>5/24</f>
        <v>0.20833333333333334</v>
      </c>
      <c r="H29" s="3">
        <v>37</v>
      </c>
      <c r="I29" s="14">
        <v>1.83619377842013E-8</v>
      </c>
      <c r="J29" s="3" t="s">
        <v>65</v>
      </c>
      <c r="K29" s="10" t="s">
        <v>92</v>
      </c>
    </row>
    <row r="30" spans="1:11" x14ac:dyDescent="0.35">
      <c r="A30" s="7" t="s">
        <v>47</v>
      </c>
      <c r="B30" s="6" t="s">
        <v>22</v>
      </c>
      <c r="C30" s="11">
        <v>0</v>
      </c>
      <c r="D30" s="15">
        <f>8/27</f>
        <v>0.29629629629629628</v>
      </c>
      <c r="E30" s="15">
        <f>18/27</f>
        <v>0.66666666666666663</v>
      </c>
      <c r="F30" s="15">
        <f>1/27</f>
        <v>3.7037037037037035E-2</v>
      </c>
      <c r="G30" s="15">
        <v>0</v>
      </c>
      <c r="H30" s="3">
        <v>27</v>
      </c>
      <c r="I30" s="14">
        <v>3.44560052644055E-14</v>
      </c>
      <c r="J30" s="3" t="s">
        <v>2</v>
      </c>
      <c r="K30" s="10" t="s">
        <v>105</v>
      </c>
    </row>
    <row r="31" spans="1:11" x14ac:dyDescent="0.35">
      <c r="A31" s="7" t="s">
        <v>33</v>
      </c>
      <c r="B31" s="6" t="s">
        <v>22</v>
      </c>
      <c r="C31" s="11">
        <v>0</v>
      </c>
      <c r="D31" s="15">
        <v>0</v>
      </c>
      <c r="E31" s="15">
        <f>4/24</f>
        <v>0.16666666666666666</v>
      </c>
      <c r="F31" s="15">
        <f>9/24</f>
        <v>0.375</v>
      </c>
      <c r="G31" s="15">
        <f>11/24</f>
        <v>0.45833333333333331</v>
      </c>
      <c r="H31" s="3">
        <v>24</v>
      </c>
      <c r="I31" s="10">
        <v>0.30869960912375199</v>
      </c>
      <c r="J31" s="3" t="s">
        <v>4</v>
      </c>
      <c r="K31" s="10" t="s">
        <v>106</v>
      </c>
    </row>
    <row r="32" spans="1:11" x14ac:dyDescent="0.35">
      <c r="A32" s="7" t="s">
        <v>34</v>
      </c>
      <c r="B32" s="6" t="s">
        <v>22</v>
      </c>
      <c r="C32" s="11">
        <v>0</v>
      </c>
      <c r="D32" s="15">
        <f>3/23</f>
        <v>0.13043478260869565</v>
      </c>
      <c r="E32" s="15">
        <f>20/23</f>
        <v>0.86956521739130432</v>
      </c>
      <c r="F32" s="15">
        <v>0</v>
      </c>
      <c r="G32" s="15">
        <v>0</v>
      </c>
      <c r="H32" s="3">
        <v>23</v>
      </c>
      <c r="I32" s="14">
        <v>3.44560052644055E-14</v>
      </c>
      <c r="J32" s="3" t="s">
        <v>2</v>
      </c>
      <c r="K32" s="10" t="s">
        <v>107</v>
      </c>
    </row>
    <row r="33" spans="1:11" x14ac:dyDescent="0.35">
      <c r="A33" s="8" t="s">
        <v>35</v>
      </c>
      <c r="B33" s="6" t="s">
        <v>22</v>
      </c>
      <c r="C33" s="2">
        <v>5.6000000000000001E-2</v>
      </c>
      <c r="D33" s="15">
        <f>24/25</f>
        <v>0.96</v>
      </c>
      <c r="E33" s="15">
        <v>0</v>
      </c>
      <c r="F33" s="15">
        <v>0</v>
      </c>
      <c r="G33" s="15">
        <f>1/25</f>
        <v>0.04</v>
      </c>
      <c r="H33" s="3">
        <v>25</v>
      </c>
      <c r="I33" s="14">
        <v>1.6656306972401401E-13</v>
      </c>
      <c r="J33" s="3" t="s">
        <v>5</v>
      </c>
      <c r="K33" s="10" t="s">
        <v>108</v>
      </c>
    </row>
    <row r="34" spans="1:11" x14ac:dyDescent="0.35">
      <c r="A34" s="7" t="s">
        <v>36</v>
      </c>
      <c r="B34" s="6" t="s">
        <v>22</v>
      </c>
      <c r="C34" s="11">
        <v>0</v>
      </c>
      <c r="D34" s="15">
        <f>1/25</f>
        <v>0.04</v>
      </c>
      <c r="E34" s="15">
        <v>0</v>
      </c>
      <c r="F34" s="15">
        <f>5/25</f>
        <v>0.2</v>
      </c>
      <c r="G34" s="15">
        <f>19/25</f>
        <v>0.76</v>
      </c>
      <c r="H34" s="3">
        <v>25</v>
      </c>
      <c r="I34" s="10">
        <v>0.88600093712962702</v>
      </c>
      <c r="J34" s="3" t="s">
        <v>4</v>
      </c>
      <c r="K34" s="10" t="s">
        <v>109</v>
      </c>
    </row>
    <row r="35" spans="1:11" x14ac:dyDescent="0.35">
      <c r="A35" s="7" t="s">
        <v>55</v>
      </c>
      <c r="B35" s="6" t="s">
        <v>22</v>
      </c>
      <c r="C35" s="11">
        <v>0</v>
      </c>
      <c r="D35" s="15">
        <v>0</v>
      </c>
      <c r="E35" s="15">
        <v>1</v>
      </c>
      <c r="F35" s="15">
        <v>0</v>
      </c>
      <c r="G35" s="15">
        <v>0</v>
      </c>
      <c r="H35" s="3">
        <v>20</v>
      </c>
      <c r="I35" s="14">
        <v>4.5788855774557098E-13</v>
      </c>
      <c r="J35" s="3" t="s">
        <v>2</v>
      </c>
      <c r="K35" s="10" t="s">
        <v>110</v>
      </c>
    </row>
    <row r="36" spans="1:11" x14ac:dyDescent="0.35">
      <c r="A36" s="7" t="s">
        <v>37</v>
      </c>
      <c r="B36" s="6" t="s">
        <v>22</v>
      </c>
      <c r="C36" s="11">
        <v>0</v>
      </c>
      <c r="D36" s="15">
        <f>3/29</f>
        <v>0.10344827586206896</v>
      </c>
      <c r="E36" s="15">
        <f>1/29</f>
        <v>3.4482758620689655E-2</v>
      </c>
      <c r="F36" s="15">
        <f>6/29</f>
        <v>0.20689655172413793</v>
      </c>
      <c r="G36" s="15">
        <f>19/29</f>
        <v>0.65517241379310343</v>
      </c>
      <c r="H36" s="3">
        <v>29</v>
      </c>
      <c r="I36" s="10">
        <v>0.41593144847674202</v>
      </c>
      <c r="J36" s="3" t="s">
        <v>4</v>
      </c>
      <c r="K36" s="10" t="s">
        <v>109</v>
      </c>
    </row>
    <row r="37" spans="1:11" x14ac:dyDescent="0.35">
      <c r="A37" s="7" t="s">
        <v>63</v>
      </c>
      <c r="B37" s="6" t="s">
        <v>22</v>
      </c>
      <c r="C37" s="17">
        <v>1.09E-2</v>
      </c>
      <c r="D37" s="15">
        <f>10/28</f>
        <v>0.35714285714285715</v>
      </c>
      <c r="E37" s="15">
        <f>8/28</f>
        <v>0.2857142857142857</v>
      </c>
      <c r="F37" s="15">
        <f>6/28</f>
        <v>0.21428571428571427</v>
      </c>
      <c r="G37" s="15">
        <f>4/28</f>
        <v>0.14285714285714285</v>
      </c>
      <c r="H37" s="3">
        <v>28</v>
      </c>
      <c r="I37" s="14">
        <v>7.3664751440462695E-7</v>
      </c>
      <c r="J37" s="3" t="s">
        <v>56</v>
      </c>
      <c r="K37" s="10" t="s">
        <v>93</v>
      </c>
    </row>
    <row r="38" spans="1:11" x14ac:dyDescent="0.35">
      <c r="A38" s="5" t="s">
        <v>38</v>
      </c>
      <c r="B38" s="6" t="s">
        <v>22</v>
      </c>
      <c r="C38" s="2">
        <v>6.3E-2</v>
      </c>
      <c r="D38" s="15">
        <f>5/33</f>
        <v>0.15151515151515152</v>
      </c>
      <c r="E38" s="15">
        <f>14/33</f>
        <v>0.42424242424242425</v>
      </c>
      <c r="F38" s="15">
        <f>8/33</f>
        <v>0.24242424242424243</v>
      </c>
      <c r="G38" s="15">
        <f>6/33</f>
        <v>0.18181818181818182</v>
      </c>
      <c r="H38" s="3">
        <v>33</v>
      </c>
      <c r="I38" s="14">
        <v>3.4083645622661799E-6</v>
      </c>
      <c r="J38" s="3" t="s">
        <v>31</v>
      </c>
      <c r="K38" s="10" t="s">
        <v>95</v>
      </c>
    </row>
    <row r="39" spans="1:11" x14ac:dyDescent="0.35">
      <c r="A39" s="7" t="s">
        <v>39</v>
      </c>
      <c r="B39" s="6" t="s">
        <v>22</v>
      </c>
      <c r="C39" s="1">
        <v>0.114</v>
      </c>
      <c r="D39" s="15">
        <f>3/25</f>
        <v>0.12</v>
      </c>
      <c r="E39" s="15">
        <f>4/25</f>
        <v>0.16</v>
      </c>
      <c r="F39" s="15">
        <f>9/25</f>
        <v>0.36</v>
      </c>
      <c r="G39" s="15">
        <f>9/25</f>
        <v>0.36</v>
      </c>
      <c r="H39" s="3">
        <v>25</v>
      </c>
      <c r="I39" s="10">
        <v>4.6337488603933302E-2</v>
      </c>
      <c r="J39" s="3" t="s">
        <v>52</v>
      </c>
      <c r="K39" s="10" t="s">
        <v>111</v>
      </c>
    </row>
    <row r="40" spans="1:11" x14ac:dyDescent="0.35">
      <c r="A40" s="5" t="s">
        <v>40</v>
      </c>
      <c r="B40" s="6" t="s">
        <v>22</v>
      </c>
      <c r="C40" s="2">
        <v>0.185</v>
      </c>
      <c r="D40" s="15">
        <v>0.24</v>
      </c>
      <c r="E40" s="15">
        <v>0.24</v>
      </c>
      <c r="F40" s="15">
        <v>7.0000000000000007E-2</v>
      </c>
      <c r="G40" s="15">
        <v>0.45</v>
      </c>
      <c r="H40" s="3">
        <v>55</v>
      </c>
      <c r="I40" s="14">
        <v>1.5844619999999999E-5</v>
      </c>
      <c r="J40" s="3" t="s">
        <v>24</v>
      </c>
      <c r="K40" s="10" t="s">
        <v>112</v>
      </c>
    </row>
    <row r="41" spans="1:11" x14ac:dyDescent="0.35">
      <c r="A41" s="8" t="s">
        <v>41</v>
      </c>
      <c r="B41" s="6" t="s">
        <v>22</v>
      </c>
      <c r="C41" s="2">
        <v>0.28100000000000003</v>
      </c>
      <c r="D41" s="15">
        <f>5/66</f>
        <v>7.575757575757576E-2</v>
      </c>
      <c r="E41" s="15">
        <f>12/66</f>
        <v>0.18181818181818182</v>
      </c>
      <c r="F41" s="15">
        <f>5/66</f>
        <v>7.575757575757576E-2</v>
      </c>
      <c r="G41" s="15">
        <f>44/66</f>
        <v>0.66666666666666663</v>
      </c>
      <c r="H41" s="3">
        <v>66</v>
      </c>
      <c r="I41" s="10">
        <v>2.24300616620032E-2</v>
      </c>
      <c r="J41" s="3" t="s">
        <v>51</v>
      </c>
      <c r="K41" s="10" t="s">
        <v>77</v>
      </c>
    </row>
    <row r="42" spans="1:11" x14ac:dyDescent="0.35">
      <c r="A42" s="7" t="s">
        <v>42</v>
      </c>
      <c r="B42" s="6" t="s">
        <v>22</v>
      </c>
      <c r="C42" s="18">
        <v>0.39300000000000002</v>
      </c>
      <c r="D42" s="15">
        <f>6/21</f>
        <v>0.2857142857142857</v>
      </c>
      <c r="E42" s="15">
        <f>15/21</f>
        <v>0.7142857142857143</v>
      </c>
      <c r="F42" s="15">
        <v>0</v>
      </c>
      <c r="G42" s="15">
        <v>0</v>
      </c>
      <c r="H42" s="3">
        <v>21</v>
      </c>
      <c r="I42" s="14">
        <v>1.7972678897018199E-13</v>
      </c>
      <c r="J42" s="3" t="s">
        <v>2</v>
      </c>
      <c r="K42" s="10" t="s">
        <v>76</v>
      </c>
    </row>
    <row r="43" spans="1:11" x14ac:dyDescent="0.35">
      <c r="A43" s="5" t="s">
        <v>43</v>
      </c>
      <c r="B43" s="6" t="s">
        <v>22</v>
      </c>
      <c r="C43" s="2">
        <v>0.46700000000000003</v>
      </c>
      <c r="D43" s="15">
        <f>3/33</f>
        <v>9.0909090909090912E-2</v>
      </c>
      <c r="E43" s="15">
        <f>20/33</f>
        <v>0.60606060606060608</v>
      </c>
      <c r="F43" s="15">
        <f>1/33</f>
        <v>3.0303030303030304E-2</v>
      </c>
      <c r="G43" s="15">
        <f>9/33</f>
        <v>0.27272727272727271</v>
      </c>
      <c r="H43" s="3">
        <v>33</v>
      </c>
      <c r="I43" s="14">
        <v>1.83619377842013E-8</v>
      </c>
      <c r="J43" s="3" t="s">
        <v>2</v>
      </c>
      <c r="K43" s="10" t="s">
        <v>113</v>
      </c>
    </row>
    <row r="44" spans="1:11" x14ac:dyDescent="0.35">
      <c r="A44" s="7" t="s">
        <v>44</v>
      </c>
      <c r="B44" s="6" t="s">
        <v>22</v>
      </c>
      <c r="C44" s="2">
        <v>0.34299999999999997</v>
      </c>
      <c r="D44" s="15">
        <f>1/41</f>
        <v>2.4390243902439025E-2</v>
      </c>
      <c r="E44" s="15">
        <f>3/41</f>
        <v>7.3170731707317069E-2</v>
      </c>
      <c r="F44" s="15">
        <f>14/41</f>
        <v>0.34146341463414637</v>
      </c>
      <c r="G44" s="15">
        <f>23/41</f>
        <v>0.56097560975609762</v>
      </c>
      <c r="H44" s="3">
        <v>41</v>
      </c>
      <c r="I44" s="10">
        <v>0.60345753636224697</v>
      </c>
      <c r="J44" s="3" t="s">
        <v>4</v>
      </c>
      <c r="K44" s="10" t="s">
        <v>78</v>
      </c>
    </row>
    <row r="45" spans="1:11" x14ac:dyDescent="0.35">
      <c r="A45" s="7" t="s">
        <v>45</v>
      </c>
      <c r="B45" s="6" t="s">
        <v>22</v>
      </c>
      <c r="C45" s="2">
        <v>0.35499999999999998</v>
      </c>
      <c r="D45" s="15">
        <f>2/38</f>
        <v>5.2631578947368418E-2</v>
      </c>
      <c r="E45" s="15">
        <f>3/38</f>
        <v>7.8947368421052627E-2</v>
      </c>
      <c r="F45" s="15">
        <f>18/38</f>
        <v>0.47368421052631576</v>
      </c>
      <c r="G45" s="15">
        <f>15/38</f>
        <v>0.39473684210526316</v>
      </c>
      <c r="H45" s="3">
        <v>38</v>
      </c>
      <c r="I45" s="10">
        <v>0.41593144847674202</v>
      </c>
      <c r="J45" s="3" t="s">
        <v>4</v>
      </c>
      <c r="K45" s="10" t="s">
        <v>77</v>
      </c>
    </row>
    <row r="46" spans="1:11" x14ac:dyDescent="0.35">
      <c r="A46" s="3" t="s">
        <v>46</v>
      </c>
      <c r="B46" s="6" t="s">
        <v>22</v>
      </c>
      <c r="C46" s="2">
        <v>0.30399999999999999</v>
      </c>
      <c r="D46" s="15">
        <f>10/48</f>
        <v>0.20833333333333334</v>
      </c>
      <c r="E46" s="15">
        <f>19/48</f>
        <v>0.39583333333333331</v>
      </c>
      <c r="F46" s="15">
        <f>3/48</f>
        <v>6.25E-2</v>
      </c>
      <c r="G46" s="15">
        <f>16/48</f>
        <v>0.33333333333333331</v>
      </c>
      <c r="H46" s="3">
        <v>48</v>
      </c>
      <c r="I46" s="14">
        <v>8.6286331620801795E-8</v>
      </c>
      <c r="J46" s="3" t="s">
        <v>31</v>
      </c>
      <c r="K46" s="10" t="s">
        <v>94</v>
      </c>
    </row>
    <row r="47" spans="1:11" x14ac:dyDescent="0.35">
      <c r="A47" s="7" t="s">
        <v>50</v>
      </c>
      <c r="B47" s="6" t="s">
        <v>22</v>
      </c>
      <c r="C47" s="16">
        <v>1</v>
      </c>
      <c r="D47" s="15">
        <f>2/48</f>
        <v>4.1666666666666664E-2</v>
      </c>
      <c r="E47" s="15">
        <f>2/48</f>
        <v>4.1666666666666664E-2</v>
      </c>
      <c r="F47" s="15">
        <f>5/48</f>
        <v>0.10416666666666667</v>
      </c>
      <c r="G47" s="15">
        <f>39/48</f>
        <v>0.8125</v>
      </c>
      <c r="H47" s="3">
        <v>48</v>
      </c>
      <c r="I47" s="10" t="s">
        <v>66</v>
      </c>
      <c r="J47" s="10" t="s">
        <v>61</v>
      </c>
    </row>
    <row r="49" spans="1:1" x14ac:dyDescent="0.35">
      <c r="A49" s="12" t="s">
        <v>114</v>
      </c>
    </row>
    <row r="50" spans="1:1" x14ac:dyDescent="0.35">
      <c r="A50" s="10" t="s">
        <v>70</v>
      </c>
    </row>
  </sheetData>
  <sortState ref="A3:K47">
    <sortCondition ref="B3:B4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Zijing Zhang</dc:creator>
  <cp:lastModifiedBy>Zijing Zhang</cp:lastModifiedBy>
  <dcterms:created xsi:type="dcterms:W3CDTF">2017-04-14T18:51:33Z</dcterms:created>
  <dcterms:modified xsi:type="dcterms:W3CDTF">2018-07-10T21:11:11Z</dcterms:modified>
</cp:coreProperties>
</file>