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bon\Documents\Publication\En preparation\R265\manuscript\"/>
    </mc:Choice>
  </mc:AlternateContent>
  <bookViews>
    <workbookView xWindow="0" yWindow="0" windowWidth="23040" windowHeight="8328" tabRatio="500" firstSheet="17" activeTab="18"/>
  </bookViews>
  <sheets>
    <sheet name="PIPELINE_SELECTION_H99" sheetId="1" r:id="rId1"/>
    <sheet name="PIPELINE_SELECTION_JEC21" sheetId="2" r:id="rId2"/>
    <sheet name="CUFFLINKS_PARAMETERS_H99" sheetId="3" r:id="rId3"/>
    <sheet name="CUFFLINKS_PARAMETERS_JEC21" sheetId="4" r:id="rId4"/>
    <sheet name="PARAMETERS_H99_REPLICATES" sheetId="5" r:id="rId5"/>
    <sheet name="PARAMETERS_JEC21_REPLICATES" sheetId="6" r:id="rId6"/>
    <sheet name="CUFFLINKS_PARAMETERS_P-Q" sheetId="7" r:id="rId7"/>
    <sheet name="CONDITIONS_WHOLE_BAM_H99" sheetId="8" r:id="rId8"/>
    <sheet name="CONDITIONS_WHOLE_BAM_JEC21" sheetId="9" r:id="rId9"/>
    <sheet name="CONDITIONS_COMBINATION_H99" sheetId="10" r:id="rId10"/>
    <sheet name="CONDITIONS_COMBINATION_JEC21" sheetId="11" r:id="rId11"/>
    <sheet name="SEQUENCING_DEPTH_H99" sheetId="12" r:id="rId12"/>
    <sheet name="SEQUENCING_DEPTH_JEC21" sheetId="13" r:id="rId13"/>
    <sheet name="CONDITIONS_SUBSAMPLED_H99" sheetId="14" r:id="rId14"/>
    <sheet name="CONDITIONS_SUBSAMPLED_JEC21" sheetId="15" r:id="rId15"/>
    <sheet name="FILTERS_H99" sheetId="16" r:id="rId16"/>
    <sheet name="FILTERS_JEC21" sheetId="17" r:id="rId17"/>
    <sheet name="EXONERATE_SEQUENCE_RETRIEVE_H99" sheetId="18" r:id="rId18"/>
    <sheet name="EXONERATE_SEQUENCE_RETRIEVE_JEC" sheetId="19" r:id="rId19"/>
  </sheets>
  <calcPr calcId="162913" concurrentCalc="0"/>
</workbook>
</file>

<file path=xl/calcChain.xml><?xml version="1.0" encoding="utf-8"?>
<calcChain xmlns="http://schemas.openxmlformats.org/spreadsheetml/2006/main">
  <c r="F20" i="19" l="1"/>
  <c r="F18" i="19"/>
  <c r="F17" i="19"/>
  <c r="D20" i="19"/>
  <c r="D18" i="19"/>
  <c r="D17" i="19"/>
  <c r="B20" i="19"/>
  <c r="B18" i="19"/>
  <c r="B17" i="19"/>
  <c r="N17" i="14"/>
  <c r="N16" i="14"/>
  <c r="N19" i="14"/>
  <c r="L17" i="14"/>
  <c r="L19" i="14"/>
  <c r="L16" i="14"/>
  <c r="J17" i="14"/>
  <c r="J16" i="14"/>
  <c r="H17" i="14"/>
  <c r="H16" i="14"/>
  <c r="H19" i="14"/>
  <c r="F17" i="14"/>
  <c r="F16" i="14"/>
  <c r="D17" i="14"/>
  <c r="D16" i="14"/>
  <c r="B17" i="14"/>
  <c r="B16" i="14"/>
  <c r="R17" i="12"/>
  <c r="R16" i="12"/>
  <c r="P17" i="12"/>
  <c r="P19" i="12"/>
  <c r="P16" i="12"/>
  <c r="N17" i="12"/>
  <c r="N16" i="12"/>
  <c r="L17" i="12"/>
  <c r="L19" i="12"/>
  <c r="L16" i="12"/>
  <c r="J17" i="12"/>
  <c r="J16" i="12"/>
  <c r="H17" i="12"/>
  <c r="H19" i="12"/>
  <c r="H16" i="12"/>
  <c r="F17" i="12"/>
  <c r="F16" i="12"/>
  <c r="D17" i="12"/>
  <c r="D19" i="12"/>
  <c r="B17" i="12"/>
  <c r="B16" i="12"/>
  <c r="N19" i="12"/>
  <c r="D16" i="12"/>
  <c r="AZ17" i="10"/>
  <c r="AZ19" i="10"/>
  <c r="AZ16" i="10"/>
  <c r="AX17" i="10"/>
  <c r="AX16" i="10"/>
  <c r="AV17" i="10"/>
  <c r="AV16" i="10"/>
  <c r="AV19" i="10"/>
  <c r="AT17" i="10"/>
  <c r="AT16" i="10"/>
  <c r="AR17" i="10"/>
  <c r="AR16" i="10"/>
  <c r="AP17" i="10"/>
  <c r="AP16" i="10"/>
  <c r="AN17" i="10"/>
  <c r="AN16" i="10"/>
  <c r="AL17" i="10"/>
  <c r="AL16" i="10"/>
  <c r="AJ17" i="10"/>
  <c r="AJ19" i="10"/>
  <c r="AJ16" i="10"/>
  <c r="AH17" i="10"/>
  <c r="AH16" i="10"/>
  <c r="AF17" i="10"/>
  <c r="AF16" i="10"/>
  <c r="AD17" i="10"/>
  <c r="AD19" i="10"/>
  <c r="AD16" i="10"/>
  <c r="AB17" i="10"/>
  <c r="AB16" i="10"/>
  <c r="Z17" i="10"/>
  <c r="Z16" i="10"/>
  <c r="X17" i="10"/>
  <c r="X16" i="10"/>
  <c r="V17" i="10"/>
  <c r="V16" i="10"/>
  <c r="T17" i="10"/>
  <c r="T16" i="10"/>
  <c r="R17" i="10"/>
  <c r="R16" i="10"/>
  <c r="R19" i="10"/>
  <c r="P17" i="10"/>
  <c r="P16" i="10"/>
  <c r="P19" i="10"/>
  <c r="N17" i="10"/>
  <c r="N16" i="10"/>
  <c r="L17" i="10"/>
  <c r="L16" i="10"/>
  <c r="L19" i="10"/>
  <c r="J17" i="10"/>
  <c r="J16" i="10"/>
  <c r="H17" i="10"/>
  <c r="H16" i="10"/>
  <c r="F17" i="10"/>
  <c r="F16" i="10"/>
  <c r="F19" i="10"/>
  <c r="D17" i="10"/>
  <c r="D19" i="10"/>
  <c r="D16" i="10"/>
  <c r="B17" i="10"/>
  <c r="B16" i="10"/>
  <c r="AX19" i="10"/>
  <c r="AB19" i="10"/>
  <c r="B17" i="8"/>
  <c r="B16" i="8"/>
  <c r="B19" i="8"/>
  <c r="D17" i="8"/>
  <c r="D16" i="8"/>
  <c r="F17" i="8"/>
  <c r="F16" i="8"/>
  <c r="H17" i="8"/>
  <c r="H16" i="8"/>
  <c r="J17" i="8"/>
  <c r="J16" i="8"/>
  <c r="L17" i="8"/>
  <c r="L19" i="8"/>
  <c r="L16" i="8"/>
  <c r="N17" i="8"/>
  <c r="N16" i="8"/>
  <c r="R21" i="5"/>
  <c r="P21" i="5"/>
  <c r="N21" i="5"/>
  <c r="L21" i="5"/>
  <c r="F21" i="5"/>
  <c r="J21" i="5"/>
  <c r="H21" i="5"/>
  <c r="D21" i="5"/>
  <c r="R19" i="5"/>
  <c r="R18" i="5"/>
  <c r="P19" i="5"/>
  <c r="P18" i="5"/>
  <c r="N19" i="5"/>
  <c r="N18" i="5"/>
  <c r="L19" i="5"/>
  <c r="L18" i="5"/>
  <c r="J19" i="5"/>
  <c r="J18" i="5"/>
  <c r="H19" i="5"/>
  <c r="H18" i="5"/>
  <c r="F19" i="5"/>
  <c r="F18" i="5"/>
  <c r="D19" i="5"/>
  <c r="D18" i="5"/>
  <c r="B21" i="5"/>
  <c r="B19" i="5"/>
  <c r="B18" i="5"/>
  <c r="AH17" i="3"/>
  <c r="AH16" i="3"/>
  <c r="B17" i="3"/>
  <c r="B16" i="3"/>
  <c r="D17" i="3"/>
  <c r="D16" i="3"/>
  <c r="F17" i="3"/>
  <c r="F16" i="3"/>
  <c r="H17" i="3"/>
  <c r="H16" i="3"/>
  <c r="J17" i="3"/>
  <c r="J16" i="3"/>
  <c r="L17" i="3"/>
  <c r="L16" i="3"/>
  <c r="N17" i="3"/>
  <c r="N19" i="3"/>
  <c r="N16" i="3"/>
  <c r="P17" i="3"/>
  <c r="P16" i="3"/>
  <c r="R17" i="3"/>
  <c r="R16" i="3"/>
  <c r="T17" i="3"/>
  <c r="T16" i="3"/>
  <c r="V17" i="3"/>
  <c r="V16" i="3"/>
  <c r="V19" i="3"/>
  <c r="X17" i="3"/>
  <c r="X16" i="3"/>
  <c r="X19" i="3"/>
  <c r="Z17" i="3"/>
  <c r="Z16" i="3"/>
  <c r="AB17" i="3"/>
  <c r="AB16" i="3"/>
  <c r="AB19" i="3"/>
  <c r="AD17" i="3"/>
  <c r="AD16" i="3"/>
  <c r="AF17" i="3"/>
  <c r="AF16" i="3"/>
  <c r="AF19" i="3"/>
  <c r="T19" i="3"/>
  <c r="J19" i="14"/>
  <c r="F19" i="14"/>
  <c r="D19" i="14"/>
  <c r="B19" i="14"/>
  <c r="R19" i="12"/>
  <c r="J19" i="12"/>
  <c r="F19" i="12"/>
  <c r="B19" i="12"/>
  <c r="AT19" i="10"/>
  <c r="AR19" i="10"/>
  <c r="AP19" i="10"/>
  <c r="AN19" i="10"/>
  <c r="AL19" i="10"/>
  <c r="AH19" i="10"/>
  <c r="AF19" i="10"/>
  <c r="Z19" i="10"/>
  <c r="X19" i="10"/>
  <c r="V19" i="10"/>
  <c r="T19" i="10"/>
  <c r="N19" i="10"/>
  <c r="J19" i="10"/>
  <c r="H19" i="10"/>
  <c r="B19" i="10"/>
  <c r="D19" i="8"/>
  <c r="F19" i="8"/>
  <c r="H19" i="8"/>
  <c r="J19" i="8"/>
  <c r="N19" i="8"/>
  <c r="AH19" i="3"/>
  <c r="B19" i="3"/>
  <c r="D19" i="3"/>
  <c r="F19" i="3"/>
  <c r="H19" i="3"/>
  <c r="J19" i="3"/>
  <c r="L19" i="3"/>
  <c r="P19" i="3"/>
  <c r="R19" i="3"/>
  <c r="Z19" i="3"/>
  <c r="AD19" i="3"/>
</calcChain>
</file>

<file path=xl/sharedStrings.xml><?xml version="1.0" encoding="utf-8"?>
<sst xmlns="http://schemas.openxmlformats.org/spreadsheetml/2006/main" count="5007" uniqueCount="2403">
  <si>
    <t>PIPELINE SELECTION EXPO30 – H99</t>
  </si>
  <si>
    <t>BRAKER1</t>
  </si>
  <si>
    <t>CUFF-CQ</t>
  </si>
  <si>
    <t>C3Q</t>
  </si>
  <si>
    <t>Predicted loci</t>
  </si>
  <si>
    <t>Predicted exons</t>
  </si>
  <si>
    <t>Predicted introns</t>
  </si>
  <si>
    <t>Missed exons</t>
  </si>
  <si>
    <t>397/43354</t>
  </si>
  <si>
    <t>0.9%</t>
  </si>
  <si>
    <t>8022/43354</t>
  </si>
  <si>
    <t>18.5%</t>
  </si>
  <si>
    <t>4709/43354</t>
  </si>
  <si>
    <t>10.9%</t>
  </si>
  <si>
    <t>Novel exons</t>
  </si>
  <si>
    <t>5314/49129</t>
  </si>
  <si>
    <t>10.8%</t>
  </si>
  <si>
    <t>680/35309</t>
  </si>
  <si>
    <t>1.9%</t>
  </si>
  <si>
    <t>794/38921</t>
  </si>
  <si>
    <t>2.0%</t>
  </si>
  <si>
    <t>Missed introns</t>
  </si>
  <si>
    <t>297/36307</t>
  </si>
  <si>
    <t>0.8%</t>
  </si>
  <si>
    <t>7864/36307</t>
  </si>
  <si>
    <t>21.7%</t>
  </si>
  <si>
    <t>4684/36307</t>
  </si>
  <si>
    <t>12.9%</t>
  </si>
  <si>
    <t>Novel introns</t>
  </si>
  <si>
    <t>6107/41910</t>
  </si>
  <si>
    <t>14.6%</t>
  </si>
  <si>
    <t>376/28579</t>
  </si>
  <si>
    <t>1.3%</t>
  </si>
  <si>
    <t>416/31706</t>
  </si>
  <si>
    <t>Missed loci</t>
  </si>
  <si>
    <t>91/6795</t>
  </si>
  <si>
    <t>783/6795</t>
  </si>
  <si>
    <t>11.5%</t>
  </si>
  <si>
    <t>447/6795</t>
  </si>
  <si>
    <t>6.6%</t>
  </si>
  <si>
    <t>Novel loci</t>
  </si>
  <si>
    <t>622/7219</t>
  </si>
  <si>
    <t>8.6%</t>
  </si>
  <si>
    <t>299/6695</t>
  </si>
  <si>
    <t>4.5%</t>
  </si>
  <si>
    <t>351/7064</t>
  </si>
  <si>
    <t>5.0%</t>
  </si>
  <si>
    <t>Rightly predicted loci</t>
  </si>
  <si>
    <t>Rightly predicted loci in all predicted loci</t>
  </si>
  <si>
    <t>4427/7219</t>
  </si>
  <si>
    <t>61.3%</t>
  </si>
  <si>
    <t>3524/6695</t>
  </si>
  <si>
    <t>52.6%</t>
  </si>
  <si>
    <t>4516/7064</t>
  </si>
  <si>
    <t>63.9%</t>
  </si>
  <si>
    <t>Rightly predicted loci of all H99 reference (6795)</t>
  </si>
  <si>
    <t>4427/6795</t>
  </si>
  <si>
    <t>65.2%</t>
  </si>
  <si>
    <t>3524/6795</t>
  </si>
  <si>
    <t>51.9%</t>
  </si>
  <si>
    <t>4516/6795</t>
  </si>
  <si>
    <t>66.5%</t>
  </si>
  <si>
    <t>Rightly predicted loci of overlaped H99 reference loci</t>
  </si>
  <si>
    <t>4427/6704</t>
  </si>
  <si>
    <t>66.0%</t>
  </si>
  <si>
    <t>3524/6012</t>
  </si>
  <si>
    <t>58.6%</t>
  </si>
  <si>
    <t>4516/6348</t>
  </si>
  <si>
    <t>71.1%</t>
  </si>
  <si>
    <t xml:space="preserve">Only about the overlapped loci </t>
  </si>
  <si>
    <t>Number of predicted loci that overlap reference</t>
  </si>
  <si>
    <t>Loci from reference that were overlaped</t>
  </si>
  <si>
    <t>Predicted exons that overlap reference loci</t>
  </si>
  <si>
    <t>Predicted introns that overlap reference loci</t>
  </si>
  <si>
    <t>Number of exons in reference overlaped loci</t>
  </si>
  <si>
    <t>Number of introns in reference overlaped loci</t>
  </si>
  <si>
    <t>164/43121</t>
  </si>
  <si>
    <t>0.4%</t>
  </si>
  <si>
    <t>4261/39593</t>
  </si>
  <si>
    <t>2777/41422</t>
  </si>
  <si>
    <t>6.7%</t>
  </si>
  <si>
    <t>3056/46871</t>
  </si>
  <si>
    <t>6.5%</t>
  </si>
  <si>
    <t>184/34813</t>
  </si>
  <si>
    <t>0.5%</t>
  </si>
  <si>
    <t>165/38292</t>
  </si>
  <si>
    <t>157/36167</t>
  </si>
  <si>
    <t>4944/33387</t>
  </si>
  <si>
    <t>14.8%</t>
  </si>
  <si>
    <t>3238/34861</t>
  </si>
  <si>
    <t>9.3%</t>
  </si>
  <si>
    <t>4471/40274</t>
  </si>
  <si>
    <t>11.1%</t>
  </si>
  <si>
    <t>179/28382</t>
  </si>
  <si>
    <t>0.6%</t>
  </si>
  <si>
    <t>141/31431</t>
  </si>
  <si>
    <t>PIPELINE SELECTION  EXPO30 – JEC21</t>
  </si>
  <si>
    <t>225/42672</t>
  </si>
  <si>
    <t>7808/42672</t>
  </si>
  <si>
    <t>18.3%</t>
  </si>
  <si>
    <t>3934/42672</t>
  </si>
  <si>
    <t>9.2%</t>
  </si>
  <si>
    <t>7483/52319</t>
  </si>
  <si>
    <t>14.3%</t>
  </si>
  <si>
    <t>806/35215</t>
  </si>
  <si>
    <t>2.3%</t>
  </si>
  <si>
    <t>1000/39473</t>
  </si>
  <si>
    <t>2.5%</t>
  </si>
  <si>
    <t>183/35941</t>
  </si>
  <si>
    <t>7811/35941</t>
  </si>
  <si>
    <t>4077/35941</t>
  </si>
  <si>
    <t>11.3%</t>
  </si>
  <si>
    <t>8931/44653</t>
  </si>
  <si>
    <t>20.0%</t>
  </si>
  <si>
    <t>450/28459</t>
  </si>
  <si>
    <t>1.6%</t>
  </si>
  <si>
    <t>525/32243</t>
  </si>
  <si>
    <t>54/6639</t>
  </si>
  <si>
    <t>625/6639</t>
  </si>
  <si>
    <t>9.4%</t>
  </si>
  <si>
    <t>318/6639</t>
  </si>
  <si>
    <t>4.8%</t>
  </si>
  <si>
    <t>1065/7666</t>
  </si>
  <si>
    <t>13.9%</t>
  </si>
  <si>
    <t>373/6725</t>
  </si>
  <si>
    <t>5.5%</t>
  </si>
  <si>
    <t>486/7083</t>
  </si>
  <si>
    <t>6.9%</t>
  </si>
  <si>
    <t>3760/7666</t>
  </si>
  <si>
    <t>49.0%</t>
  </si>
  <si>
    <t>3512/6725</t>
  </si>
  <si>
    <t>52.2%</t>
  </si>
  <si>
    <t>4616/7083</t>
  </si>
  <si>
    <t>3760/6639</t>
  </si>
  <si>
    <t>56.6%</t>
  </si>
  <si>
    <t>3512/6639</t>
  </si>
  <si>
    <t>52.9%</t>
  </si>
  <si>
    <t>4616/6639</t>
  </si>
  <si>
    <t>69.5%</t>
  </si>
  <si>
    <t>3760/6585</t>
  </si>
  <si>
    <t>57.1%</t>
  </si>
  <si>
    <t>3512/6014</t>
  </si>
  <si>
    <t>58.4%</t>
  </si>
  <si>
    <t>4616/6321</t>
  </si>
  <si>
    <t>73.0%</t>
  </si>
  <si>
    <t>107/42554</t>
  </si>
  <si>
    <t>0.3%</t>
  </si>
  <si>
    <t>4512/39376</t>
  </si>
  <si>
    <t>2441/41179</t>
  </si>
  <si>
    <t>5.9%</t>
  </si>
  <si>
    <t>3560/48396</t>
  </si>
  <si>
    <t>7.4%</t>
  </si>
  <si>
    <t>212/34621</t>
  </si>
  <si>
    <t>161/38634</t>
  </si>
  <si>
    <t>120/35878</t>
  </si>
  <si>
    <t>5148/33278</t>
  </si>
  <si>
    <t>15.5%</t>
  </si>
  <si>
    <t>2907/34771</t>
  </si>
  <si>
    <t>8.4%</t>
  </si>
  <si>
    <t>6073/41795</t>
  </si>
  <si>
    <t>14.5%</t>
  </si>
  <si>
    <t>229/28238</t>
  </si>
  <si>
    <t>173/31891</t>
  </si>
  <si>
    <t>CUFFLINKS PARAMETERS EXPO30 – H99 (C3Q pipeline with merged GTF from replicates)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</si>
  <si>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</si>
  <si>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</si>
  <si>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</si>
  <si>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</si>
  <si>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</si>
  <si>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</si>
  <si>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</si>
  <si>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</si>
  <si>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</si>
  <si>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</si>
  <si>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</si>
  <si>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</si>
  <si>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</si>
  <si>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</si>
  <si>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</si>
  <si>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</si>
  <si>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</si>
  <si>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5106/43354</t>
  </si>
  <si>
    <t>11.8%</t>
  </si>
  <si>
    <t>5169/43354</t>
  </si>
  <si>
    <t>11.9%</t>
  </si>
  <si>
    <t>4794/43354</t>
  </si>
  <si>
    <t>5455/43354</t>
  </si>
  <si>
    <t>12.6%</t>
  </si>
  <si>
    <t>5370/43354</t>
  </si>
  <si>
    <t>12.4%</t>
  </si>
  <si>
    <t>4516/43354</t>
  </si>
  <si>
    <t>10.4%</t>
  </si>
  <si>
    <t>4583/43354</t>
  </si>
  <si>
    <t>10.6%</t>
  </si>
  <si>
    <t>4417/43354</t>
  </si>
  <si>
    <t>10.2%</t>
  </si>
  <si>
    <t>4491/43354</t>
  </si>
  <si>
    <t>4348/43354</t>
  </si>
  <si>
    <t>10.0%</t>
  </si>
  <si>
    <t>4037/43354</t>
  </si>
  <si>
    <t>3893/43354</t>
  </si>
  <si>
    <t>9.0%</t>
  </si>
  <si>
    <t>3869/43354</t>
  </si>
  <si>
    <t>8.9%</t>
  </si>
  <si>
    <t>3807/43354</t>
  </si>
  <si>
    <t>8.8%</t>
  </si>
  <si>
    <t>3716/43354</t>
  </si>
  <si>
    <t>3827/43354</t>
  </si>
  <si>
    <t>846/38393</t>
  </si>
  <si>
    <t>2.2%</t>
  </si>
  <si>
    <t>836/38315</t>
  </si>
  <si>
    <t>861/38761</t>
  </si>
  <si>
    <t>836/37991</t>
  </si>
  <si>
    <t>822/38154</t>
  </si>
  <si>
    <t>871/39186</t>
  </si>
  <si>
    <t>831/39084</t>
  </si>
  <si>
    <t>2.1%</t>
  </si>
  <si>
    <t>865/39259</t>
  </si>
  <si>
    <t>833/39169</t>
  </si>
  <si>
    <t>872/39362</t>
  </si>
  <si>
    <t>915/39728</t>
  </si>
  <si>
    <t>909/39884</t>
  </si>
  <si>
    <t>903/39905</t>
  </si>
  <si>
    <t>911/39979</t>
  </si>
  <si>
    <t>947/40159</t>
  </si>
  <si>
    <t>2.4%</t>
  </si>
  <si>
    <t>909/39950</t>
  </si>
  <si>
    <t>5692/36307</t>
  </si>
  <si>
    <t>15.7%</t>
  </si>
  <si>
    <t>5755/36307</t>
  </si>
  <si>
    <t>15.9%</t>
  </si>
  <si>
    <t>5339/36307</t>
  </si>
  <si>
    <t>14.7%</t>
  </si>
  <si>
    <t>6162/36307</t>
  </si>
  <si>
    <t>17.0%</t>
  </si>
  <si>
    <t>5788/36307</t>
  </si>
  <si>
    <t>4591/36307</t>
  </si>
  <si>
    <t>4664/36307</t>
  </si>
  <si>
    <t>12.8%</t>
  </si>
  <si>
    <t>4514/36307</t>
  </si>
  <si>
    <t>4592/36307</t>
  </si>
  <si>
    <t>4329/36307</t>
  </si>
  <si>
    <t>4074/36307</t>
  </si>
  <si>
    <t>11.2%</t>
  </si>
  <si>
    <t>3941/36307</t>
  </si>
  <si>
    <t>3924/36307</t>
  </si>
  <si>
    <t>3875/36307</t>
  </si>
  <si>
    <t>10.7%</t>
  </si>
  <si>
    <t>3806/36307</t>
  </si>
  <si>
    <t>10.5%</t>
  </si>
  <si>
    <t>3890/36307</t>
  </si>
  <si>
    <t>389/30706</t>
  </si>
  <si>
    <t>364/30622</t>
  </si>
  <si>
    <t>1.2%</t>
  </si>
  <si>
    <t>404/31070</t>
  </si>
  <si>
    <t>373/30225</t>
  </si>
  <si>
    <t>384/30620</t>
  </si>
  <si>
    <t>426/31841</t>
  </si>
  <si>
    <t>398/31739</t>
  </si>
  <si>
    <t>421/31914</t>
  </si>
  <si>
    <t>400/31812</t>
  </si>
  <si>
    <t>423/32101</t>
  </si>
  <si>
    <t>448/32388</t>
  </si>
  <si>
    <t>1.4%</t>
  </si>
  <si>
    <t>441/32518</t>
  </si>
  <si>
    <t>436/32538</t>
  </si>
  <si>
    <t>445/32593</t>
  </si>
  <si>
    <t>480/32701</t>
  </si>
  <si>
    <t>1.5%</t>
  </si>
  <si>
    <t>443/32578</t>
  </si>
  <si>
    <t>360/6795</t>
  </si>
  <si>
    <t>5.3%</t>
  </si>
  <si>
    <t>374/6795</t>
  </si>
  <si>
    <t>332/6795</t>
  </si>
  <si>
    <t>4.9%</t>
  </si>
  <si>
    <t>379/6795</t>
  </si>
  <si>
    <t>5.6%</t>
  </si>
  <si>
    <t>405/6795</t>
  </si>
  <si>
    <t>6.0%</t>
  </si>
  <si>
    <t>388/6795</t>
  </si>
  <si>
    <t>5.7%</t>
  </si>
  <si>
    <t>396/6795</t>
  </si>
  <si>
    <t>5.8%</t>
  </si>
  <si>
    <t>381/6795</t>
  </si>
  <si>
    <t>383/6795</t>
  </si>
  <si>
    <t>342/6795</t>
  </si>
  <si>
    <t>335/6795</t>
  </si>
  <si>
    <t>338/6795</t>
  </si>
  <si>
    <t>324/6795</t>
  </si>
  <si>
    <t>306/6795</t>
  </si>
  <si>
    <t>333/6795</t>
  </si>
  <si>
    <t>429/7547</t>
  </si>
  <si>
    <t>442/7565</t>
  </si>
  <si>
    <t>428/7537</t>
  </si>
  <si>
    <t>431/7634</t>
  </si>
  <si>
    <t>417/7418</t>
  </si>
  <si>
    <t>424/7195</t>
  </si>
  <si>
    <t>410/7187</t>
  </si>
  <si>
    <t>422/7201</t>
  </si>
  <si>
    <t>411/7207</t>
  </si>
  <si>
    <t>416/7112</t>
  </si>
  <si>
    <t>437/7183</t>
  </si>
  <si>
    <t>6.1%</t>
  </si>
  <si>
    <t>446/7196</t>
  </si>
  <si>
    <t>6.2%</t>
  </si>
  <si>
    <t>445/7195</t>
  </si>
  <si>
    <t>446/7209</t>
  </si>
  <si>
    <t>464/7252</t>
  </si>
  <si>
    <t>6.4%</t>
  </si>
  <si>
    <t>446/7199</t>
  </si>
  <si>
    <t>54.5%</t>
  </si>
  <si>
    <t>54.4%</t>
  </si>
  <si>
    <t>56.2%</t>
  </si>
  <si>
    <t>51.4%</t>
  </si>
  <si>
    <t>55.5%</t>
  </si>
  <si>
    <t>63.3%</t>
  </si>
  <si>
    <t>63.4%</t>
  </si>
  <si>
    <t>63.8%</t>
  </si>
  <si>
    <t>63.7%</t>
  </si>
  <si>
    <t>65.8%</t>
  </si>
  <si>
    <t>66.2%</t>
  </si>
  <si>
    <t>66.8%</t>
  </si>
  <si>
    <t>66.3%</t>
  </si>
  <si>
    <t>Rightly predicted loci of all H99 reference</t>
  </si>
  <si>
    <t>60.5%</t>
  </si>
  <si>
    <t>62.3%</t>
  </si>
  <si>
    <t>57.7%</t>
  </si>
  <si>
    <t>4119/6795</t>
  </si>
  <si>
    <t>60.6%</t>
  </si>
  <si>
    <t>67.6%</t>
  </si>
  <si>
    <t>67.5%</t>
  </si>
  <si>
    <t>68.9%</t>
  </si>
  <si>
    <t>70.4%</t>
  </si>
  <si>
    <t>70.7%</t>
  </si>
  <si>
    <t>70.9%</t>
  </si>
  <si>
    <t>70.8%</t>
  </si>
  <si>
    <t>4114/6435</t>
  </si>
  <si>
    <t>4113/6421</t>
  </si>
  <si>
    <t>64.1%</t>
  </si>
  <si>
    <t>4233/6463</t>
  </si>
  <si>
    <t>65.5%</t>
  </si>
  <si>
    <t>3922/6416</t>
  </si>
  <si>
    <t>61.1%</t>
  </si>
  <si>
    <t>4119/6390</t>
  </si>
  <si>
    <t>64.5%</t>
  </si>
  <si>
    <t>4554/6407</t>
  </si>
  <si>
    <t>4553/6399</t>
  </si>
  <si>
    <t>71.2%</t>
  </si>
  <si>
    <t>4592/6416</t>
  </si>
  <si>
    <t>71.6%</t>
  </si>
  <si>
    <t>4589/6414</t>
  </si>
  <si>
    <t>71.5%</t>
  </si>
  <si>
    <t>4679/6412</t>
  </si>
  <si>
    <t>4755/6453</t>
  </si>
  <si>
    <t>73.7%</t>
  </si>
  <si>
    <t>4786/6460</t>
  </si>
  <si>
    <t>74.1%</t>
  </si>
  <si>
    <t>4803/6457</t>
  </si>
  <si>
    <t>74.4%</t>
  </si>
  <si>
    <t>4816/6471</t>
  </si>
  <si>
    <t>4810/6489</t>
  </si>
  <si>
    <t>4809/6462</t>
  </si>
  <si>
    <t>3465/41713</t>
  </si>
  <si>
    <t>8.3%</t>
  </si>
  <si>
    <t>3488/41673</t>
  </si>
  <si>
    <t>3361/41921</t>
  </si>
  <si>
    <t>8.0%</t>
  </si>
  <si>
    <t>3702/41601</t>
  </si>
  <si>
    <t>3493/41477</t>
  </si>
  <si>
    <t>2810/41648</t>
  </si>
  <si>
    <t>2848/41619</t>
  </si>
  <si>
    <t>6.8%</t>
  </si>
  <si>
    <t>2788/41725</t>
  </si>
  <si>
    <t>2836/41699</t>
  </si>
  <si>
    <t>2665/41671</t>
  </si>
  <si>
    <t>2562/41879</t>
  </si>
  <si>
    <t>2486/41947</t>
  </si>
  <si>
    <t>2463/41948</t>
  </si>
  <si>
    <t>2468/42015</t>
  </si>
  <si>
    <t>2460/42098</t>
  </si>
  <si>
    <t>2442/41969</t>
  </si>
  <si>
    <t>156/37703</t>
  </si>
  <si>
    <t>139/37618</t>
  </si>
  <si>
    <t>166/38066</t>
  </si>
  <si>
    <t>161/37316</t>
  </si>
  <si>
    <t>149/37481</t>
  </si>
  <si>
    <t>163/38478</t>
  </si>
  <si>
    <t>149/38402</t>
  </si>
  <si>
    <t>162/38556</t>
  </si>
  <si>
    <t>144/38480</t>
  </si>
  <si>
    <t>173/38663</t>
  </si>
  <si>
    <t>177/38990</t>
  </si>
  <si>
    <t>169/39144</t>
  </si>
  <si>
    <t>167/39169</t>
  </si>
  <si>
    <t>170/39238</t>
  </si>
  <si>
    <t>181/39393</t>
  </si>
  <si>
    <t>167/39208</t>
  </si>
  <si>
    <t>4441/35056</t>
  </si>
  <si>
    <t>12.7%</t>
  </si>
  <si>
    <t>4476/35028</t>
  </si>
  <si>
    <t>4264/35232</t>
  </si>
  <si>
    <t>12.1%</t>
  </si>
  <si>
    <t>4817/34962</t>
  </si>
  <si>
    <t>13.8%</t>
  </si>
  <si>
    <t>4352/34871</t>
  </si>
  <si>
    <t>12.5%</t>
  </si>
  <si>
    <t>3304/35020</t>
  </si>
  <si>
    <t>3357/35000</t>
  </si>
  <si>
    <t>9.6%</t>
  </si>
  <si>
    <t>3295/35088</t>
  </si>
  <si>
    <t>3350/35065</t>
  </si>
  <si>
    <t>3065/35043</t>
  </si>
  <si>
    <t>8.7%</t>
  </si>
  <si>
    <t>2970/35203</t>
  </si>
  <si>
    <t>2896/35262</t>
  </si>
  <si>
    <t>8.2%</t>
  </si>
  <si>
    <t>2883/35266</t>
  </si>
  <si>
    <t>2885/35317</t>
  </si>
  <si>
    <t>2880/35381</t>
  </si>
  <si>
    <t>8.1%</t>
  </si>
  <si>
    <t>2863/35280</t>
  </si>
  <si>
    <t>129/30446</t>
  </si>
  <si>
    <t>111/30369</t>
  </si>
  <si>
    <t>139/30805</t>
  </si>
  <si>
    <t>130/29982</t>
  </si>
  <si>
    <t>129/30365</t>
  </si>
  <si>
    <t>146/31561</t>
  </si>
  <si>
    <t>131/31472</t>
  </si>
  <si>
    <t>144/31637</t>
  </si>
  <si>
    <t>127/31539</t>
  </si>
  <si>
    <t>144/31822</t>
  </si>
  <si>
    <t>153/32093</t>
  </si>
  <si>
    <t>151/32228</t>
  </si>
  <si>
    <t>149/32251</t>
  </si>
  <si>
    <t>154/32302</t>
  </si>
  <si>
    <t>183/32404</t>
  </si>
  <si>
    <t>151/32286</t>
  </si>
  <si>
    <t>CUFFLINKS PARAMETERS EXPO30 – JEC21 (C3Q pipeline with merged GTF from replicates)</t>
  </si>
  <si>
    <t>5051/42672</t>
  </si>
  <si>
    <t>5096/42672</t>
  </si>
  <si>
    <t>4815/42672</t>
  </si>
  <si>
    <t>5757/42672</t>
  </si>
  <si>
    <t>13.5%</t>
  </si>
  <si>
    <t>5551/42672</t>
  </si>
  <si>
    <t>13.0%</t>
  </si>
  <si>
    <t>4390/42672</t>
  </si>
  <si>
    <t>10.3%</t>
  </si>
  <si>
    <t>4459/42672</t>
  </si>
  <si>
    <t>4334/42672</t>
  </si>
  <si>
    <t>4467/42672</t>
  </si>
  <si>
    <t>4326/42672</t>
  </si>
  <si>
    <t>10.1%</t>
  </si>
  <si>
    <t>4132/42672</t>
  </si>
  <si>
    <t>9.7%</t>
  </si>
  <si>
    <t>4045/42672</t>
  </si>
  <si>
    <t>9.5%</t>
  </si>
  <si>
    <t>4017/42672</t>
  </si>
  <si>
    <t>4027/42672</t>
  </si>
  <si>
    <t>3972/42672</t>
  </si>
  <si>
    <t>4022/42672</t>
  </si>
  <si>
    <t>943/38102</t>
  </si>
  <si>
    <t>943/38059</t>
  </si>
  <si>
    <t>962/38371</t>
  </si>
  <si>
    <t>900/37298</t>
  </si>
  <si>
    <t>929/37549</t>
  </si>
  <si>
    <t>949/38920</t>
  </si>
  <si>
    <t>913/38836</t>
  </si>
  <si>
    <t>922/38962</t>
  </si>
  <si>
    <t>886/38802</t>
  </si>
  <si>
    <t>913/38949</t>
  </si>
  <si>
    <t>950/39205</t>
  </si>
  <si>
    <t>987/39332</t>
  </si>
  <si>
    <t>995/39380</t>
  </si>
  <si>
    <t>991/39374</t>
  </si>
  <si>
    <t>1007/39525</t>
  </si>
  <si>
    <t>996/39365</t>
  </si>
  <si>
    <t>5430/35941</t>
  </si>
  <si>
    <t>15.1%</t>
  </si>
  <si>
    <t>5470/35941</t>
  </si>
  <si>
    <t>15.2%</t>
  </si>
  <si>
    <t>5197/35941</t>
  </si>
  <si>
    <t>6149/35941</t>
  </si>
  <si>
    <t>17.1%</t>
  </si>
  <si>
    <t>5874/35941</t>
  </si>
  <si>
    <t>16.3%</t>
  </si>
  <si>
    <t>4473/35941</t>
  </si>
  <si>
    <t>4524/35941</t>
  </si>
  <si>
    <t>4417/35941</t>
  </si>
  <si>
    <t>12.3%</t>
  </si>
  <si>
    <t>4526/35941</t>
  </si>
  <si>
    <t>4393/35941</t>
  </si>
  <si>
    <t>12.2%</t>
  </si>
  <si>
    <t>4216/35941</t>
  </si>
  <si>
    <t>11.7%</t>
  </si>
  <si>
    <t>4136/35941</t>
  </si>
  <si>
    <t>4091/35941</t>
  </si>
  <si>
    <t>11.4%</t>
  </si>
  <si>
    <t>4113/35941</t>
  </si>
  <si>
    <t>4053/35941</t>
  </si>
  <si>
    <t>4108/35941</t>
  </si>
  <si>
    <t>487/30850</t>
  </si>
  <si>
    <t>490/30811</t>
  </si>
  <si>
    <t>497/31074</t>
  </si>
  <si>
    <t>455/30087</t>
  </si>
  <si>
    <t>469/30375</t>
  </si>
  <si>
    <t>495/31828</t>
  </si>
  <si>
    <t>479/31769</t>
  </si>
  <si>
    <t>476/31845</t>
  </si>
  <si>
    <t>450/31719</t>
  </si>
  <si>
    <t>473/31879</t>
  </si>
  <si>
    <t>480/32052</t>
  </si>
  <si>
    <t>497/32153</t>
  </si>
  <si>
    <t>507/32202</t>
  </si>
  <si>
    <t>518/32196</t>
  </si>
  <si>
    <t>559/32297</t>
  </si>
  <si>
    <t>1.7%</t>
  </si>
  <si>
    <t>512/32193</t>
  </si>
  <si>
    <t>360/6639</t>
  </si>
  <si>
    <t>5.4%</t>
  </si>
  <si>
    <t>361/6639</t>
  </si>
  <si>
    <t>333/6639</t>
  </si>
  <si>
    <t>424/6639</t>
  </si>
  <si>
    <t>386/6639</t>
  </si>
  <si>
    <t>354/6639</t>
  </si>
  <si>
    <t>366/6639</t>
  </si>
  <si>
    <t>348/6639</t>
  </si>
  <si>
    <t>5.2%</t>
  </si>
  <si>
    <t>363/6639</t>
  </si>
  <si>
    <t>342/6639</t>
  </si>
  <si>
    <t>323/6639</t>
  </si>
  <si>
    <t>321/6639</t>
  </si>
  <si>
    <t>309/6639</t>
  </si>
  <si>
    <t>4.7%</t>
  </si>
  <si>
    <t>469/7159</t>
  </si>
  <si>
    <t>467/7155</t>
  </si>
  <si>
    <t>474/7178</t>
  </si>
  <si>
    <t>450/7134</t>
  </si>
  <si>
    <t>6.3%</t>
  </si>
  <si>
    <t>463/7111</t>
  </si>
  <si>
    <t>463/6981</t>
  </si>
  <si>
    <t>446/6948</t>
  </si>
  <si>
    <t>460/6989</t>
  </si>
  <si>
    <t>448/6957</t>
  </si>
  <si>
    <t>449/6962</t>
  </si>
  <si>
    <t>481/7024</t>
  </si>
  <si>
    <t>496/7048</t>
  </si>
  <si>
    <t>7.0%</t>
  </si>
  <si>
    <t>495/7039</t>
  </si>
  <si>
    <t>487/7031</t>
  </si>
  <si>
    <t>490/7043</t>
  </si>
  <si>
    <t>491/7034</t>
  </si>
  <si>
    <t>4046/7159</t>
  </si>
  <si>
    <t>56.5%</t>
  </si>
  <si>
    <t>4035/7155</t>
  </si>
  <si>
    <t>56.4%</t>
  </si>
  <si>
    <t>4122/7178</t>
  </si>
  <si>
    <t>57.4%</t>
  </si>
  <si>
    <t>3834/7134</t>
  </si>
  <si>
    <t>53.7%</t>
  </si>
  <si>
    <t>3939/7111</t>
  </si>
  <si>
    <t>55.4%</t>
  </si>
  <si>
    <t>4401/6981</t>
  </si>
  <si>
    <t>4399/6948</t>
  </si>
  <si>
    <t>4415/6989</t>
  </si>
  <si>
    <t>63.2%</t>
  </si>
  <si>
    <t>4414/6957</t>
  </si>
  <si>
    <t>4442/6962</t>
  </si>
  <si>
    <t>4492/7024</t>
  </si>
  <si>
    <t>4514/7048</t>
  </si>
  <si>
    <t>4512/7039</t>
  </si>
  <si>
    <t>4511/7031</t>
  </si>
  <si>
    <t>64.2%</t>
  </si>
  <si>
    <t>4523/7043</t>
  </si>
  <si>
    <t>4516/7034</t>
  </si>
  <si>
    <t>Rightly predicted loci of all JEC21 reference</t>
  </si>
  <si>
    <t>4046/6639</t>
  </si>
  <si>
    <t>60.9%</t>
  </si>
  <si>
    <t>4035/6639</t>
  </si>
  <si>
    <t>60.8%</t>
  </si>
  <si>
    <t>4122/6639</t>
  </si>
  <si>
    <t>62.1%</t>
  </si>
  <si>
    <t>3834/6639</t>
  </si>
  <si>
    <t>3939/6639</t>
  </si>
  <si>
    <t>59.3%</t>
  </si>
  <si>
    <t>4401/6639</t>
  </si>
  <si>
    <t>4399/6639</t>
  </si>
  <si>
    <t>4415/6639</t>
  </si>
  <si>
    <t>4414/6639</t>
  </si>
  <si>
    <t>4442/6639</t>
  </si>
  <si>
    <t>66.9%</t>
  </si>
  <si>
    <t>4492/6639</t>
  </si>
  <si>
    <t>67.7%</t>
  </si>
  <si>
    <t>4514/6639</t>
  </si>
  <si>
    <t>4512/6639</t>
  </si>
  <si>
    <t>4511/6639</t>
  </si>
  <si>
    <t>67.9%</t>
  </si>
  <si>
    <t>4523/6639</t>
  </si>
  <si>
    <t>68.1%</t>
  </si>
  <si>
    <t>4516/6639</t>
  </si>
  <si>
    <t>Rightly predicted loci of overlaped JEC21 reference loci</t>
  </si>
  <si>
    <t>4046/6279</t>
  </si>
  <si>
    <t>64.4%</t>
  </si>
  <si>
    <t>4035/6278</t>
  </si>
  <si>
    <t>64.3%</t>
  </si>
  <si>
    <t>4122/6306</t>
  </si>
  <si>
    <t>65.4%</t>
  </si>
  <si>
    <t>3834/6215</t>
  </si>
  <si>
    <t>61.7%</t>
  </si>
  <si>
    <t>3939/6253</t>
  </si>
  <si>
    <t>4401/6285</t>
  </si>
  <si>
    <t>70.0%</t>
  </si>
  <si>
    <t>4399/6273</t>
  </si>
  <si>
    <t>70.1%</t>
  </si>
  <si>
    <t>4415/6291</t>
  </si>
  <si>
    <t>70.2%</t>
  </si>
  <si>
    <t>4414/6276</t>
  </si>
  <si>
    <t>70.3%</t>
  </si>
  <si>
    <t>4442/6279</t>
  </si>
  <si>
    <t>4492/6297</t>
  </si>
  <si>
    <t>71.3%</t>
  </si>
  <si>
    <t>4514/6316</t>
  </si>
  <si>
    <t>4512/6318</t>
  </si>
  <si>
    <t>71.4%</t>
  </si>
  <si>
    <t>4511/6318</t>
  </si>
  <si>
    <t>4523/6330</t>
  </si>
  <si>
    <t>4516/6318</t>
  </si>
  <si>
    <t>3294/40915</t>
  </si>
  <si>
    <t>3327/40903</t>
  </si>
  <si>
    <t>3178/41035</t>
  </si>
  <si>
    <t>7.7%</t>
  </si>
  <si>
    <t>3597/40512</t>
  </si>
  <si>
    <t>3560/40681</t>
  </si>
  <si>
    <t>2687/40969</t>
  </si>
  <si>
    <t>2694/40907</t>
  </si>
  <si>
    <t>2706/41044</t>
  </si>
  <si>
    <t>2770/40975</t>
  </si>
  <si>
    <t>2626/40972</t>
  </si>
  <si>
    <t>2541/41081</t>
  </si>
  <si>
    <t>2512/41139</t>
  </si>
  <si>
    <t>2516/41171</t>
  </si>
  <si>
    <t>2517/41162</t>
  </si>
  <si>
    <t>2521/41221</t>
  </si>
  <si>
    <t>2520/41170</t>
  </si>
  <si>
    <t>146/37305</t>
  </si>
  <si>
    <t>147/37263</t>
  </si>
  <si>
    <t>146/37555</t>
  </si>
  <si>
    <t>153/36551</t>
  </si>
  <si>
    <t>168/36788</t>
  </si>
  <si>
    <t>167/38138</t>
  </si>
  <si>
    <t>158/38081</t>
  </si>
  <si>
    <t>156/38196</t>
  </si>
  <si>
    <t>149/38065</t>
  </si>
  <si>
    <t>163/38199</t>
  </si>
  <si>
    <t>150/38405</t>
  </si>
  <si>
    <t>168/38513</t>
  </si>
  <si>
    <t>173/38558</t>
  </si>
  <si>
    <t>174/38557</t>
  </si>
  <si>
    <t>181/38699</t>
  </si>
  <si>
    <t>169/38538</t>
  </si>
  <si>
    <t>4039/34550</t>
  </si>
  <si>
    <t>4068/34539</t>
  </si>
  <si>
    <t>3899/34643</t>
  </si>
  <si>
    <t>4418/34210</t>
  </si>
  <si>
    <t>4277/34344</t>
  </si>
  <si>
    <t>3128/34596</t>
  </si>
  <si>
    <t>3129/34546</t>
  </si>
  <si>
    <t>9.1%</t>
  </si>
  <si>
    <t>3141/34665</t>
  </si>
  <si>
    <t>3195/34610</t>
  </si>
  <si>
    <t>3057/34605</t>
  </si>
  <si>
    <t>2970/34695</t>
  </si>
  <si>
    <t>2929/34734</t>
  </si>
  <si>
    <t>2914/34764</t>
  </si>
  <si>
    <t>2927/34755</t>
  </si>
  <si>
    <t>2913/34801</t>
  </si>
  <si>
    <t>2930/34763</t>
  </si>
  <si>
    <t>162/30525</t>
  </si>
  <si>
    <t>163/30484</t>
  </si>
  <si>
    <t>158/30735</t>
  </si>
  <si>
    <t>158/29790</t>
  </si>
  <si>
    <t>171/30077</t>
  </si>
  <si>
    <t>176/31509</t>
  </si>
  <si>
    <t>170/31460</t>
  </si>
  <si>
    <t>170/31539</t>
  </si>
  <si>
    <t>161/31430</t>
  </si>
  <si>
    <t>172/31578</t>
  </si>
  <si>
    <t>161/31733</t>
  </si>
  <si>
    <t>174/31830</t>
  </si>
  <si>
    <t>180/31875</t>
  </si>
  <si>
    <t>189/31867</t>
  </si>
  <si>
    <t>226/31964</t>
  </si>
  <si>
    <t>0.7%</t>
  </si>
  <si>
    <t>176/31857</t>
  </si>
  <si>
    <t>CUFFLINKS PARAMETERS BY REPLICATE – H99</t>
  </si>
  <si>
    <t>PARAMETERS COMBINATION “O”</t>
  </si>
  <si>
    <t>PARAMETERS COMBINATION “P”</t>
  </si>
  <si>
    <t>PARAMETERS COMBINATION “Q”</t>
  </si>
  <si>
    <t>EXPO30a</t>
  </si>
  <si>
    <t>EXPO30b</t>
  </si>
  <si>
    <t>EXPO30c</t>
  </si>
  <si>
    <t>4886/43354</t>
  </si>
  <si>
    <t>(11.3%)</t>
  </si>
  <si>
    <t>4758/43354</t>
  </si>
  <si>
    <t>(11.0%)</t>
  </si>
  <si>
    <t>5188/43354</t>
  </si>
  <si>
    <t>(12.0%)</t>
  </si>
  <si>
    <t>4829/43354</t>
  </si>
  <si>
    <t>(11.1%)</t>
  </si>
  <si>
    <t>4725/43354</t>
  </si>
  <si>
    <t>(10.9%)</t>
  </si>
  <si>
    <t>5064/43354</t>
  </si>
  <si>
    <t>(11.7%)</t>
  </si>
  <si>
    <t>4954/43354</t>
  </si>
  <si>
    <t>(11.4%)</t>
  </si>
  <si>
    <t>4798/43354</t>
  </si>
  <si>
    <t>5192/43354</t>
  </si>
  <si>
    <t>828/38690</t>
  </si>
  <si>
    <t>(2.1%)</t>
  </si>
  <si>
    <t>799/38834</t>
  </si>
  <si>
    <t>799/38404</t>
  </si>
  <si>
    <t>844/38780</t>
  </si>
  <si>
    <t>(2.2%)</t>
  </si>
  <si>
    <t>810/38880</t>
  </si>
  <si>
    <t>814/38537</t>
  </si>
  <si>
    <t>829/38622</t>
  </si>
  <si>
    <t>799/38789</t>
  </si>
  <si>
    <t>799/38387</t>
  </si>
  <si>
    <t>4881/36307</t>
  </si>
  <si>
    <t>(13.4%)</t>
  </si>
  <si>
    <t>4630/36307</t>
  </si>
  <si>
    <t>(12.8%)</t>
  </si>
  <si>
    <t>5053/36307</t>
  </si>
  <si>
    <t>(13.9%)</t>
  </si>
  <si>
    <t>4820/36307</t>
  </si>
  <si>
    <t>(13.3%)</t>
  </si>
  <si>
    <t>4653/36307</t>
  </si>
  <si>
    <t>4974/36307</t>
  </si>
  <si>
    <t>(13.7%)</t>
  </si>
  <si>
    <t>4941/36307</t>
  </si>
  <si>
    <t>(13.6%)</t>
  </si>
  <si>
    <t>4675/36307</t>
  </si>
  <si>
    <t>(12.9%)</t>
  </si>
  <si>
    <t>5076/36307</t>
  </si>
  <si>
    <t>(14.0%)</t>
  </si>
  <si>
    <t>425/31556</t>
  </si>
  <si>
    <t>(1.3%)</t>
  </si>
  <si>
    <t>438/31791</t>
  </si>
  <si>
    <t>(1.4%)</t>
  </si>
  <si>
    <t>425/31360</t>
  </si>
  <si>
    <t>447/31631</t>
  </si>
  <si>
    <t>443/31787</t>
  </si>
  <si>
    <t>430/31446</t>
  </si>
  <si>
    <t>429/31505</t>
  </si>
  <si>
    <t>432/31736</t>
  </si>
  <si>
    <t>426/31336</t>
  </si>
  <si>
    <t>436/6795</t>
  </si>
  <si>
    <t>(6.4%)</t>
  </si>
  <si>
    <t>452/6795</t>
  </si>
  <si>
    <t>(6.7%)</t>
  </si>
  <si>
    <t>490/6795</t>
  </si>
  <si>
    <t>(7.2%)</t>
  </si>
  <si>
    <t>425/6795</t>
  </si>
  <si>
    <t>(6.3%)</t>
  </si>
  <si>
    <t>442/6795</t>
  </si>
  <si>
    <t>(6.5%)</t>
  </si>
  <si>
    <t>465/6795</t>
  </si>
  <si>
    <t>(6.8%)</t>
  </si>
  <si>
    <t>443/6795</t>
  </si>
  <si>
    <t>451/6795</t>
  </si>
  <si>
    <t>(6.6%)</t>
  </si>
  <si>
    <t>488/6795</t>
  </si>
  <si>
    <t>396/7041</t>
  </si>
  <si>
    <t>(5.6%)</t>
  </si>
  <si>
    <t>349/6935</t>
  </si>
  <si>
    <t>(5.0%)</t>
  </si>
  <si>
    <t>354/6927</t>
  </si>
  <si>
    <t>(5.1%)</t>
  </si>
  <si>
    <t>397/7045</t>
  </si>
  <si>
    <t>360/6971</t>
  </si>
  <si>
    <t>(5.2%)</t>
  </si>
  <si>
    <t>366/6972</t>
  </si>
  <si>
    <t>391/7032</t>
  </si>
  <si>
    <t>352/6946</t>
  </si>
  <si>
    <t>354/6939</t>
  </si>
  <si>
    <t>62.4%</t>
  </si>
  <si>
    <t>62.9%</t>
  </si>
  <si>
    <t>62.2%</t>
  </si>
  <si>
    <t>62.8%</t>
  </si>
  <si>
    <t>62.6%</t>
  </si>
  <si>
    <t>64.7%</t>
  </si>
  <si>
    <t>64.6%</t>
  </si>
  <si>
    <t>65.7%</t>
  </si>
  <si>
    <t>4396/6359</t>
  </si>
  <si>
    <t>69.1%</t>
  </si>
  <si>
    <t>4472/6343</t>
  </si>
  <si>
    <t>70.5%</t>
  </si>
  <si>
    <t>4358/6305</t>
  </si>
  <si>
    <t>4381/6370</t>
  </si>
  <si>
    <t>68.8%</t>
  </si>
  <si>
    <t>4470/6353</t>
  </si>
  <si>
    <t>4376/6330</t>
  </si>
  <si>
    <t>4388/6352</t>
  </si>
  <si>
    <t>4462/6344</t>
  </si>
  <si>
    <t>4342/6307</t>
  </si>
  <si>
    <t>(5.9%)</t>
  </si>
  <si>
    <t>2768/41364</t>
  </si>
  <si>
    <t>2991/41157</t>
  </si>
  <si>
    <t>(7.3%)</t>
  </si>
  <si>
    <t>2966/41491</t>
  </si>
  <si>
    <t>(7.1%)</t>
  </si>
  <si>
    <t>2810/41439</t>
  </si>
  <si>
    <t>3018/41308</t>
  </si>
  <si>
    <t>2977/41377</t>
  </si>
  <si>
    <t>2821/41377</t>
  </si>
  <si>
    <t>3008/41170</t>
  </si>
  <si>
    <t>(0.4%)</t>
  </si>
  <si>
    <t>175/38210</t>
  </si>
  <si>
    <t>(0.5%)</t>
  </si>
  <si>
    <t>173/37778</t>
  </si>
  <si>
    <t>176/38112</t>
  </si>
  <si>
    <t>173/38243</t>
  </si>
  <si>
    <t>176/37899</t>
  </si>
  <si>
    <t>179/37972</t>
  </si>
  <si>
    <t>172/38162</t>
  </si>
  <si>
    <t>172/37760</t>
  </si>
  <si>
    <t>(8.4%)</t>
  </si>
  <si>
    <t>3129/34806</t>
  </si>
  <si>
    <t>(9.0%)</t>
  </si>
  <si>
    <t>3389/34643</t>
  </si>
  <si>
    <t>(9.8%)</t>
  </si>
  <si>
    <t>3418/34905</t>
  </si>
  <si>
    <t>3217/34871</t>
  </si>
  <si>
    <t>(9.2%)</t>
  </si>
  <si>
    <t>3432/34765</t>
  </si>
  <si>
    <t>(9.9%)</t>
  </si>
  <si>
    <t>3442/34808</t>
  </si>
  <si>
    <t>3189/34821</t>
  </si>
  <si>
    <t>3420/34651</t>
  </si>
  <si>
    <t>166/31519</t>
  </si>
  <si>
    <t>156/31091</t>
  </si>
  <si>
    <t>179/31363</t>
  </si>
  <si>
    <t>(0.6%)</t>
  </si>
  <si>
    <t>169/31513</t>
  </si>
  <si>
    <t>161/31177</t>
  </si>
  <si>
    <t>173/31249</t>
  </si>
  <si>
    <t>160/31464</t>
  </si>
  <si>
    <t>156/31066</t>
  </si>
  <si>
    <t>CUFFLINKS PARAMETERS BY REPLICATE – JEC21</t>
  </si>
  <si>
    <t>5601/42672</t>
  </si>
  <si>
    <t>13.1%</t>
  </si>
  <si>
    <t>4512/42672</t>
  </si>
  <si>
    <t>5990/42672</t>
  </si>
  <si>
    <t>14.0%</t>
  </si>
  <si>
    <t>5464/42672</t>
  </si>
  <si>
    <t>4410/42672</t>
  </si>
  <si>
    <t>5783/42672</t>
  </si>
  <si>
    <t>13.6%</t>
  </si>
  <si>
    <t>5550/42672</t>
  </si>
  <si>
    <t>4549/42672</t>
  </si>
  <si>
    <t>5942/42672</t>
  </si>
  <si>
    <t>876/37565</t>
  </si>
  <si>
    <t>960/38785</t>
  </si>
  <si>
    <t>820/37102</t>
  </si>
  <si>
    <t>898/37729</t>
  </si>
  <si>
    <t>985/38931</t>
  </si>
  <si>
    <t>829/37343</t>
  </si>
  <si>
    <t>889/37614</t>
  </si>
  <si>
    <t>958/38738</t>
  </si>
  <si>
    <t>820/37154</t>
  </si>
  <si>
    <t>5584/35941</t>
  </si>
  <si>
    <t>4578/35941</t>
  </si>
  <si>
    <t>5985/35941</t>
  </si>
  <si>
    <t>16.7%</t>
  </si>
  <si>
    <t>5450/35941</t>
  </si>
  <si>
    <t>4511/35941</t>
  </si>
  <si>
    <t>5783/35941</t>
  </si>
  <si>
    <t>16.1%</t>
  </si>
  <si>
    <t>5539/35941</t>
  </si>
  <si>
    <t>15.4%</t>
  </si>
  <si>
    <t>4589/35941</t>
  </si>
  <si>
    <t>5937/35941</t>
  </si>
  <si>
    <t>16.5%</t>
  </si>
  <si>
    <t>493/30726</t>
  </si>
  <si>
    <t>522/31729</t>
  </si>
  <si>
    <t>456/30262</t>
  </si>
  <si>
    <t>503/30863</t>
  </si>
  <si>
    <t>541/31817</t>
  </si>
  <si>
    <t>469/30483</t>
  </si>
  <si>
    <t>486/30770</t>
  </si>
  <si>
    <t>516/31703</t>
  </si>
  <si>
    <t>455/30314</t>
  </si>
  <si>
    <t>477/6639</t>
  </si>
  <si>
    <t>7.2%</t>
  </si>
  <si>
    <t>364/6639</t>
  </si>
  <si>
    <t>511/6639</t>
  </si>
  <si>
    <t>460/6639</t>
  </si>
  <si>
    <t>486/6639</t>
  </si>
  <si>
    <t>7.3%</t>
  </si>
  <si>
    <t>475/6639</t>
  </si>
  <si>
    <t>373/6639</t>
  </si>
  <si>
    <t>499/6639</t>
  </si>
  <si>
    <t>7.5%</t>
  </si>
  <si>
    <t>408/6797</t>
  </si>
  <si>
    <t>448/6962</t>
  </si>
  <si>
    <t>390/6783</t>
  </si>
  <si>
    <t>405/6804</t>
  </si>
  <si>
    <t>463/6999</t>
  </si>
  <si>
    <t>394/6794</t>
  </si>
  <si>
    <t>408/6800</t>
  </si>
  <si>
    <t>450/6946</t>
  </si>
  <si>
    <t>391/6787</t>
  </si>
  <si>
    <t>4058/6797</t>
  </si>
  <si>
    <t>59.7%</t>
  </si>
  <si>
    <t>4320/7074</t>
  </si>
  <si>
    <t>3931/6783</t>
  </si>
  <si>
    <t>58.0%</t>
  </si>
  <si>
    <t>4099/6804</t>
  </si>
  <si>
    <t>60.2%</t>
  </si>
  <si>
    <t>4323/6999</t>
  </si>
  <si>
    <t>61.8%</t>
  </si>
  <si>
    <t>3998/6794</t>
  </si>
  <si>
    <t>58.8%</t>
  </si>
  <si>
    <t>4087/6800</t>
  </si>
  <si>
    <t>60.1%</t>
  </si>
  <si>
    <t>4315/6946</t>
  </si>
  <si>
    <t>3963/6787</t>
  </si>
  <si>
    <t>4058/6639</t>
  </si>
  <si>
    <t>4320/6639</t>
  </si>
  <si>
    <t>65.1%</t>
  </si>
  <si>
    <t>3931/6639</t>
  </si>
  <si>
    <t>59.2%</t>
  </si>
  <si>
    <t>4099/6639</t>
  </si>
  <si>
    <t>4323/6639</t>
  </si>
  <si>
    <t>3998/6639</t>
  </si>
  <si>
    <t>4087/6639</t>
  </si>
  <si>
    <t>61.6%</t>
  </si>
  <si>
    <t>4315/6639</t>
  </si>
  <si>
    <t>65.0%</t>
  </si>
  <si>
    <t>3963/6639</t>
  </si>
  <si>
    <t>4058/6162</t>
  </si>
  <si>
    <t>65.9%</t>
  </si>
  <si>
    <t>4320/6275</t>
  </si>
  <si>
    <t>3931/6128</t>
  </si>
  <si>
    <t>4099/6179</t>
  </si>
  <si>
    <t>4323/6291</t>
  </si>
  <si>
    <t>68.7%</t>
  </si>
  <si>
    <t>3998/6153</t>
  </si>
  <si>
    <t>4087/6164</t>
  </si>
  <si>
    <t>4315/6266</t>
  </si>
  <si>
    <t>3963/6140</t>
  </si>
  <si>
    <t>3217/40288</t>
  </si>
  <si>
    <t>2775/40935</t>
  </si>
  <si>
    <t>3356/40038</t>
  </si>
  <si>
    <t>3136/40344</t>
  </si>
  <si>
    <t>7.8%</t>
  </si>
  <si>
    <t>2731/40993</t>
  </si>
  <si>
    <t>3246/40135</t>
  </si>
  <si>
    <t>3167/40289</t>
  </si>
  <si>
    <t>7.9%</t>
  </si>
  <si>
    <t>2717/40840</t>
  </si>
  <si>
    <t>3356/40086</t>
  </si>
  <si>
    <t>182/36871</t>
  </si>
  <si>
    <t>193/38018</t>
  </si>
  <si>
    <t>165/36447</t>
  </si>
  <si>
    <t>197/37028</t>
  </si>
  <si>
    <t>191/38137</t>
  </si>
  <si>
    <t>163/36677</t>
  </si>
  <si>
    <t>189/36914</t>
  </si>
  <si>
    <t>194/37974</t>
  </si>
  <si>
    <t>165/36499</t>
  </si>
  <si>
    <t>3685/34042</t>
  </si>
  <si>
    <t>3208/34571</t>
  </si>
  <si>
    <t>3869/33825</t>
  </si>
  <si>
    <t>3590/34081</t>
  </si>
  <si>
    <t>3182/34612</t>
  </si>
  <si>
    <t>3739/33897</t>
  </si>
  <si>
    <t>11.0%</t>
  </si>
  <si>
    <t>3638/34040</t>
  </si>
  <si>
    <t>3133/34485</t>
  </si>
  <si>
    <t>3857/33861</t>
  </si>
  <si>
    <t>207/30440</t>
  </si>
  <si>
    <t>204/31411</t>
  </si>
  <si>
    <t>191/29997</t>
  </si>
  <si>
    <t>208/30568</t>
  </si>
  <si>
    <t>212/31488</t>
  </si>
  <si>
    <t>197/30211</t>
  </si>
  <si>
    <t>194/30478</t>
  </si>
  <si>
    <t>202/31389</t>
  </si>
  <si>
    <t>191/30050</t>
  </si>
  <si>
    <t>CUFFLINKS PARAMETERS COMBINATIONS “P” AND “Q” BY CONDITION (C3Q pipeline – merged GTFs from replicates)</t>
  </si>
  <si>
    <t>summary results</t>
  </si>
  <si>
    <t>Rightly predicted loci (relative to 6795 loci of H99 reference)</t>
  </si>
  <si>
    <t>Missed loci (relative to 6795 loci of H99 reference)</t>
  </si>
  <si>
    <t>Rightly predicted loci (relative only to the number of reference loci that is predicted)</t>
  </si>
  <si>
    <t>Missed exons (percent of exons relative to the number of exons from referece loci that is predicted/overlaped)</t>
  </si>
  <si>
    <t>Novel exons (percent of exons relative to the number of exons from referece loci that is predicted/overlaped)</t>
  </si>
  <si>
    <t>Missed introns (number of introns relative to the number of introns from referece loci that is predicted/overlaped)</t>
  </si>
  <si>
    <t>Novel introns (number of introns relative to the number of introns from referece loci that is predicted/overlaped)</t>
  </si>
  <si>
    <t>Rightly predicted loci (relative to 6639 loci of JEC21 reference)</t>
  </si>
  <si>
    <t>H99 – P</t>
  </si>
  <si>
    <t>EXPO30</t>
  </si>
  <si>
    <t>70.8</t>
  </si>
  <si>
    <t>4.5</t>
  </si>
  <si>
    <t>6.4</t>
  </si>
  <si>
    <t>74.1</t>
  </si>
  <si>
    <t>5.8</t>
  </si>
  <si>
    <t>0.5</t>
  </si>
  <si>
    <t>8.1</t>
  </si>
  <si>
    <t>0.6</t>
  </si>
  <si>
    <t>JEC21 – P</t>
  </si>
  <si>
    <t>68.2</t>
  </si>
  <si>
    <t>4.7</t>
  </si>
  <si>
    <t>71.5</t>
  </si>
  <si>
    <t>6.1</t>
  </si>
  <si>
    <t>8.4</t>
  </si>
  <si>
    <t>0.7</t>
  </si>
  <si>
    <t>EXPO37</t>
  </si>
  <si>
    <t>71.4</t>
  </si>
  <si>
    <t>5.9</t>
  </si>
  <si>
    <t>75.2</t>
  </si>
  <si>
    <t>5.3</t>
  </si>
  <si>
    <t>7.3</t>
  </si>
  <si>
    <t>60.9</t>
  </si>
  <si>
    <t>6.7</t>
  </si>
  <si>
    <t>65.3</t>
  </si>
  <si>
    <t>7.5</t>
  </si>
  <si>
    <t>10.2</t>
  </si>
  <si>
    <t>0.8</t>
  </si>
  <si>
    <t>STAT30</t>
  </si>
  <si>
    <t>74.8</t>
  </si>
  <si>
    <t>5.5</t>
  </si>
  <si>
    <t>0.4</t>
  </si>
  <si>
    <t>7.4</t>
  </si>
  <si>
    <t>69.8</t>
  </si>
  <si>
    <t>72.7</t>
  </si>
  <si>
    <t>7.8</t>
  </si>
  <si>
    <t>STAT37</t>
  </si>
  <si>
    <t>67.7</t>
  </si>
  <si>
    <t>71.8</t>
  </si>
  <si>
    <t>6.5</t>
  </si>
  <si>
    <t>8.8</t>
  </si>
  <si>
    <t>58.1</t>
  </si>
  <si>
    <t>8.7</t>
  </si>
  <si>
    <t>63.6</t>
  </si>
  <si>
    <t>8.6</t>
  </si>
  <si>
    <t>11.5</t>
  </si>
  <si>
    <t>ES3037</t>
  </si>
  <si>
    <t>3.7</t>
  </si>
  <si>
    <t>6.9</t>
  </si>
  <si>
    <t>6.3</t>
  </si>
  <si>
    <t>0.9</t>
  </si>
  <si>
    <t>73.1</t>
  </si>
  <si>
    <t>3.6</t>
  </si>
  <si>
    <t>75.8</t>
  </si>
  <si>
    <t>H99 – Q</t>
  </si>
  <si>
    <t>4.9</t>
  </si>
  <si>
    <t>6.2</t>
  </si>
  <si>
    <t>74.4</t>
  </si>
  <si>
    <t>JEC21 – Q</t>
  </si>
  <si>
    <t>68.0</t>
  </si>
  <si>
    <t>4.8</t>
  </si>
  <si>
    <t>7.0</t>
  </si>
  <si>
    <t>5.1</t>
  </si>
  <si>
    <t>6.0</t>
  </si>
  <si>
    <t>75.4</t>
  </si>
  <si>
    <t>5.4</t>
  </si>
  <si>
    <t>62.0</t>
  </si>
  <si>
    <t>6.8</t>
  </si>
  <si>
    <t>66.5</t>
  </si>
  <si>
    <t>7.1</t>
  </si>
  <si>
    <t>9.7</t>
  </si>
  <si>
    <t>5.0</t>
  </si>
  <si>
    <t>74.5</t>
  </si>
  <si>
    <t>5.6</t>
  </si>
  <si>
    <t>69.6</t>
  </si>
  <si>
    <t>4.2</t>
  </si>
  <si>
    <t>5.7</t>
  </si>
  <si>
    <t>8.0</t>
  </si>
  <si>
    <t>67.6</t>
  </si>
  <si>
    <t>71.9</t>
  </si>
  <si>
    <t>57.6</t>
  </si>
  <si>
    <t>8.9</t>
  </si>
  <si>
    <t>63.2</t>
  </si>
  <si>
    <t>11.9</t>
  </si>
  <si>
    <t>76.4</t>
  </si>
  <si>
    <t>3.8</t>
  </si>
  <si>
    <t>79.5</t>
  </si>
  <si>
    <t>4.6</t>
  </si>
  <si>
    <t>73.3</t>
  </si>
  <si>
    <t>76.3</t>
  </si>
  <si>
    <t>ES3037: EXPO30+EXPO37+STAT30+STAT37</t>
  </si>
  <si>
    <t>CONDITIONS – WHOLE BAM REPLICATES – H99 (C3Q pipeline with merged GTF from replicates)</t>
  </si>
  <si>
    <t>MATING</t>
  </si>
  <si>
    <t>ES3037M</t>
  </si>
  <si>
    <t>3691/43354</t>
  </si>
  <si>
    <t>8.5%</t>
  </si>
  <si>
    <t>3792/43354</t>
  </si>
  <si>
    <t>4504/43354</t>
  </si>
  <si>
    <t>4703/43354</t>
  </si>
  <si>
    <t>2945/43354</t>
  </si>
  <si>
    <t>2935/43354</t>
  </si>
  <si>
    <t>877/40096</t>
  </si>
  <si>
    <t>901/40006</t>
  </si>
  <si>
    <t>846/39195</t>
  </si>
  <si>
    <t>849/38911</t>
  </si>
  <si>
    <t>996/41185</t>
  </si>
  <si>
    <t>(2.4%)</t>
  </si>
  <si>
    <t>1001/41233</t>
  </si>
  <si>
    <t>3647/36307</t>
  </si>
  <si>
    <t>3722/36307</t>
  </si>
  <si>
    <t>4425/36307</t>
  </si>
  <si>
    <t>4722/36307</t>
  </si>
  <si>
    <t>2979/36307</t>
  </si>
  <si>
    <t>(8.2%)</t>
  </si>
  <si>
    <t>2993/36307</t>
  </si>
  <si>
    <t>436/32798</t>
  </si>
  <si>
    <t>450/32725</t>
  </si>
  <si>
    <t>420/31991</t>
  </si>
  <si>
    <t>419/31687</t>
  </si>
  <si>
    <t>475/33560</t>
  </si>
  <si>
    <t>478/33569</t>
  </si>
  <si>
    <t>348/6795</t>
  </si>
  <si>
    <t>5.1%</t>
  </si>
  <si>
    <t>339/6795</t>
  </si>
  <si>
    <t>410/6795</t>
  </si>
  <si>
    <t>261/6795</t>
  </si>
  <si>
    <t>(3.8%)</t>
  </si>
  <si>
    <t>254/6795</t>
  </si>
  <si>
    <t>(3.7%)</t>
  </si>
  <si>
    <t>425/7106</t>
  </si>
  <si>
    <t>428/7114</t>
  </si>
  <si>
    <t>401/7049</t>
  </si>
  <si>
    <t>406/7104</t>
  </si>
  <si>
    <t>501/7288</t>
  </si>
  <si>
    <t>(6.9%)</t>
  </si>
  <si>
    <t>510/7310</t>
  </si>
  <si>
    <t>(7.0%)</t>
  </si>
  <si>
    <t>68.4%</t>
  </si>
  <si>
    <t>76.4%</t>
  </si>
  <si>
    <t>76.7%</t>
  </si>
  <si>
    <t>4858/6447</t>
  </si>
  <si>
    <t>75.4%</t>
  </si>
  <si>
    <t>4810/6456</t>
  </si>
  <si>
    <t>74.5%</t>
  </si>
  <si>
    <t>4594/6385</t>
  </si>
  <si>
    <t>71.9%</t>
  </si>
  <si>
    <t>4427/6385</t>
  </si>
  <si>
    <t>69.3%</t>
  </si>
  <si>
    <t>5192/6534</t>
  </si>
  <si>
    <t>79.5%</t>
  </si>
  <si>
    <t>5215/6541</t>
  </si>
  <si>
    <t>79.7%</t>
  </si>
  <si>
    <t>2277/41940</t>
  </si>
  <si>
    <t>2350/41912</t>
  </si>
  <si>
    <t>2710/41560</t>
  </si>
  <si>
    <t>2947/41598</t>
  </si>
  <si>
    <t>7.1%</t>
  </si>
  <si>
    <t>1945/42354</t>
  </si>
  <si>
    <t>4.6%</t>
  </si>
  <si>
    <t>1966/42385</t>
  </si>
  <si>
    <t>171/39390</t>
  </si>
  <si>
    <t>169/39274</t>
  </si>
  <si>
    <t>175/38524</t>
  </si>
  <si>
    <t>177/38239</t>
  </si>
  <si>
    <t>175/40364</t>
  </si>
  <si>
    <t>183/40415</t>
  </si>
  <si>
    <t>2611/35271</t>
  </si>
  <si>
    <t>2648/35233</t>
  </si>
  <si>
    <t>3075/34957</t>
  </si>
  <si>
    <t>3411/34996</t>
  </si>
  <si>
    <t>2261/35589</t>
  </si>
  <si>
    <t>2299/35613</t>
  </si>
  <si>
    <t>159/32521</t>
  </si>
  <si>
    <t>149/32424</t>
  </si>
  <si>
    <t>154/31725</t>
  </si>
  <si>
    <t>158/31426</t>
  </si>
  <si>
    <t>163/33248</t>
  </si>
  <si>
    <t>176/33267</t>
  </si>
  <si>
    <t>ES3037 = EXPO30 + EXPO37 + STAT30 + STAT37</t>
  </si>
  <si>
    <t>ES3037M = EXPO30 + EXPO37 + STAT30 + STAT37 + MATING</t>
  </si>
  <si>
    <t>CONDITIONS – WHOLE BAM REPLICATES – JEC21 (C3Q pipeline with merged GTF from replicates)</t>
  </si>
  <si>
    <t>5159/42672</t>
  </si>
  <si>
    <t>3635/42672</t>
  </si>
  <si>
    <t>6650/42672</t>
  </si>
  <si>
    <t>15.6%</t>
  </si>
  <si>
    <t>3163/42672</t>
  </si>
  <si>
    <t>907/38060</t>
  </si>
  <si>
    <t>1067/39907</t>
  </si>
  <si>
    <t>2.7%</t>
  </si>
  <si>
    <t>867/36540</t>
  </si>
  <si>
    <t>1066/40511</t>
  </si>
  <si>
    <t>2.6%</t>
  </si>
  <si>
    <t>5135/35941</t>
  </si>
  <si>
    <t>3777/35941</t>
  </si>
  <si>
    <t>6477/35941</t>
  </si>
  <si>
    <t>18.0%</t>
  </si>
  <si>
    <t>3283/35941</t>
  </si>
  <si>
    <t>519/31187</t>
  </si>
  <si>
    <t>535/32531</t>
  </si>
  <si>
    <t>513/29827</t>
  </si>
  <si>
    <t>541/33078</t>
  </si>
  <si>
    <t>449/6639</t>
  </si>
  <si>
    <t>278/6639</t>
  </si>
  <si>
    <t>4.2%</t>
  </si>
  <si>
    <t>592/6639</t>
  </si>
  <si>
    <t>254/6639</t>
  </si>
  <si>
    <t>3.8%</t>
  </si>
  <si>
    <t>407/6795</t>
  </si>
  <si>
    <t>538/7187</t>
  </si>
  <si>
    <t>386/6670</t>
  </si>
  <si>
    <t>537/7176</t>
  </si>
  <si>
    <t>4624/7187</t>
  </si>
  <si>
    <t>3821/6670</t>
  </si>
  <si>
    <t>57.3%</t>
  </si>
  <si>
    <t>4869/7176</t>
  </si>
  <si>
    <t>Rightly predicted loci of all JEC21 reference (6639)</t>
  </si>
  <si>
    <t>4119/6639</t>
  </si>
  <si>
    <t>4624/6639</t>
  </si>
  <si>
    <t>69.6%</t>
  </si>
  <si>
    <t>3821/6639</t>
  </si>
  <si>
    <t>57.6%</t>
  </si>
  <si>
    <t>4869/6639</t>
  </si>
  <si>
    <t>73.3%</t>
  </si>
  <si>
    <t>4119/6190</t>
  </si>
  <si>
    <t>4624/6361</t>
  </si>
  <si>
    <t>72.7%</t>
  </si>
  <si>
    <t>3821/6047</t>
  </si>
  <si>
    <t>4869/6385</t>
  </si>
  <si>
    <t>76.3%</t>
  </si>
  <si>
    <t>2862/40375</t>
  </si>
  <si>
    <t>2361/41398</t>
  </si>
  <si>
    <t>3533/39555</t>
  </si>
  <si>
    <t>2031/41540</t>
  </si>
  <si>
    <t>196/37349</t>
  </si>
  <si>
    <t>165/39005</t>
  </si>
  <si>
    <t>211/35884</t>
  </si>
  <si>
    <t>164/39609</t>
  </si>
  <si>
    <t>3295/34101</t>
  </si>
  <si>
    <t>2785/34949</t>
  </si>
  <si>
    <t>3961/33425</t>
  </si>
  <si>
    <t>2408/35066</t>
  </si>
  <si>
    <t>216/30884</t>
  </si>
  <si>
    <t>173/32169</t>
  </si>
  <si>
    <t>243/29557</t>
  </si>
  <si>
    <t>179/32716</t>
  </si>
  <si>
    <t>CONDITIONS COMBINATION – H99 (C3Q pipeline with merged GTF from replicates)</t>
  </si>
  <si>
    <t>EXPO30-EXPO37</t>
  </si>
  <si>
    <t>EXPO30-MATING</t>
  </si>
  <si>
    <t>EXPO30-STAT30</t>
  </si>
  <si>
    <t>EXPO30-STAT37</t>
  </si>
  <si>
    <t>EXPO37-MATING</t>
  </si>
  <si>
    <t>EXPO37-STAT30</t>
  </si>
  <si>
    <t>EXPO37-STAT37</t>
  </si>
  <si>
    <t>STAT30-MATING</t>
  </si>
  <si>
    <t>STAT30-STAT37</t>
  </si>
  <si>
    <t>STAT37-MATING</t>
  </si>
  <si>
    <t>EXPO30-EXPO37-MATING</t>
  </si>
  <si>
    <t>EXPO30-EXPO37-STAT30</t>
  </si>
  <si>
    <t>EXPO30-EXPO37-STAT37</t>
  </si>
  <si>
    <t>EXPO30-STAT30-MATING</t>
  </si>
  <si>
    <t>EXPO30-STAT30-STAT37</t>
  </si>
  <si>
    <t>EXPO30-STAT37-MATING</t>
  </si>
  <si>
    <t>EXPO37-STAT30-MATING</t>
  </si>
  <si>
    <t>EXPO37-STAT30-STAT37</t>
  </si>
  <si>
    <t>EXPO37-STAT37-MATING</t>
  </si>
  <si>
    <t>STAT30-STAT37-MATING</t>
  </si>
  <si>
    <t>EXPO30-EXPO37-STAT30-MATING</t>
  </si>
  <si>
    <t>EXPO30-EXPO37-STAT30-STAT37</t>
  </si>
  <si>
    <t>EXPO30-EXPO37-STAT37-MATING</t>
  </si>
  <si>
    <t>EXPO30-STAT30-STAT37-MATING</t>
  </si>
  <si>
    <t>EXPO37-STAT30-STAT37-MATING</t>
  </si>
  <si>
    <t>EXPO30-EXPO37-STAT30-STAT37-MATING</t>
  </si>
  <si>
    <t>3276/43354</t>
  </si>
  <si>
    <t>7.6%</t>
  </si>
  <si>
    <t>3610/43354</t>
  </si>
  <si>
    <t>3301/43354</t>
  </si>
  <si>
    <t>3565/43354</t>
  </si>
  <si>
    <t>3455/43354</t>
  </si>
  <si>
    <t>3205/43354</t>
  </si>
  <si>
    <t>3508/43354</t>
  </si>
  <si>
    <t>3582/43354</t>
  </si>
  <si>
    <t>3537/43354</t>
  </si>
  <si>
    <t>4044/43354</t>
  </si>
  <si>
    <t>3151/43354</t>
  </si>
  <si>
    <t>3002/43354</t>
  </si>
  <si>
    <t>3199/43354</t>
  </si>
  <si>
    <t>3212/43354</t>
  </si>
  <si>
    <t>3208/43354</t>
  </si>
  <si>
    <t>3473/43354</t>
  </si>
  <si>
    <t>3163/43354</t>
  </si>
  <si>
    <t>3103/43354</t>
  </si>
  <si>
    <t>3430/43354</t>
  </si>
  <si>
    <t>3472/43354</t>
  </si>
  <si>
    <t>2943/43354</t>
  </si>
  <si>
    <t>3121/43354</t>
  </si>
  <si>
    <t>3139/43354</t>
  </si>
  <si>
    <t>3088/43354</t>
  </si>
  <si>
    <t>969/40700</t>
  </si>
  <si>
    <t>918/40243</t>
  </si>
  <si>
    <t>956/40646</t>
  </si>
  <si>
    <t>907/40325</t>
  </si>
  <si>
    <t>923/40433</t>
  </si>
  <si>
    <t>957/40762</t>
  </si>
  <si>
    <t>905/40403</t>
  </si>
  <si>
    <t>921/40292</t>
  </si>
  <si>
    <t>901/40330</t>
  </si>
  <si>
    <t>908/39777</t>
  </si>
  <si>
    <t>979/40879</t>
  </si>
  <si>
    <t>991/41069</t>
  </si>
  <si>
    <t>948/40842</t>
  </si>
  <si>
    <t>961/40780</t>
  </si>
  <si>
    <t>969/40816</t>
  </si>
  <si>
    <t>940/40488</t>
  </si>
  <si>
    <t>970/40878</t>
  </si>
  <si>
    <t>930/40893</t>
  </si>
  <si>
    <t>932/40549</t>
  </si>
  <si>
    <t>942/40489</t>
  </si>
  <si>
    <t>1006/41177</t>
  </si>
  <si>
    <t>995/41005</t>
  </si>
  <si>
    <t>988/40942</t>
  </si>
  <si>
    <t>961/40988</t>
  </si>
  <si>
    <t>(2.3%)</t>
  </si>
  <si>
    <t>3309/36307</t>
  </si>
  <si>
    <t>3708/36307</t>
  </si>
  <si>
    <t>3325/36307</t>
  </si>
  <si>
    <t>3634/36307</t>
  </si>
  <si>
    <t>3497/36307</t>
  </si>
  <si>
    <t>3171/36307</t>
  </si>
  <si>
    <t>3487/36307</t>
  </si>
  <si>
    <t>3583/36307</t>
  </si>
  <si>
    <t>9.9%</t>
  </si>
  <si>
    <t>3521/36307</t>
  </si>
  <si>
    <t>4089/36307</t>
  </si>
  <si>
    <t>3242/36307</t>
  </si>
  <si>
    <t>3042/36307</t>
  </si>
  <si>
    <t>3237/36307</t>
  </si>
  <si>
    <t>3282/36307</t>
  </si>
  <si>
    <t>3250/36307</t>
  </si>
  <si>
    <t>3555/36307</t>
  </si>
  <si>
    <t>9.8%</t>
  </si>
  <si>
    <t>3186/36307</t>
  </si>
  <si>
    <t>3104/36307</t>
  </si>
  <si>
    <t>3468/36307</t>
  </si>
  <si>
    <t>3502/36307</t>
  </si>
  <si>
    <t>3015/36307</t>
  </si>
  <si>
    <t>(8.3%)</t>
  </si>
  <si>
    <t>3185/36307</t>
  </si>
  <si>
    <t>(8.8%)</t>
  </si>
  <si>
    <t>3194/36307</t>
  </si>
  <si>
    <t>3105/36307</t>
  </si>
  <si>
    <t>(8.6%)</t>
  </si>
  <si>
    <t>483/33208</t>
  </si>
  <si>
    <t>424/32756</t>
  </si>
  <si>
    <t>457/33150</t>
  </si>
  <si>
    <t>427/32839</t>
  </si>
  <si>
    <t>433/32973</t>
  </si>
  <si>
    <t>481/33330</t>
  </si>
  <si>
    <t>425/32980</t>
  </si>
  <si>
    <t>434/32866</t>
  </si>
  <si>
    <t>437/32935</t>
  </si>
  <si>
    <t>444/32384</t>
  </si>
  <si>
    <t>460/33284</t>
  </si>
  <si>
    <t>481/33484</t>
  </si>
  <si>
    <t>447/33273</t>
  </si>
  <si>
    <t>454/33222</t>
  </si>
  <si>
    <t>455/33259</t>
  </si>
  <si>
    <t>434/32934</t>
  </si>
  <si>
    <t>458/33334</t>
  </si>
  <si>
    <t>450/33396</t>
  </si>
  <si>
    <t>444/33035</t>
  </si>
  <si>
    <t>444/32989</t>
  </si>
  <si>
    <t>481/33536</t>
  </si>
  <si>
    <t>474/33366</t>
  </si>
  <si>
    <t>469/33347</t>
  </si>
  <si>
    <t>454/33418</t>
  </si>
  <si>
    <t>294/6795</t>
  </si>
  <si>
    <t>4.3%</t>
  </si>
  <si>
    <t>305/6795</t>
  </si>
  <si>
    <t>284/6795</t>
  </si>
  <si>
    <t>297/6795</t>
  </si>
  <si>
    <t>4.4%</t>
  </si>
  <si>
    <t>307/6795</t>
  </si>
  <si>
    <t>291/6795</t>
  </si>
  <si>
    <t>326/6795</t>
  </si>
  <si>
    <t>313/6795</t>
  </si>
  <si>
    <t>316/6795</t>
  </si>
  <si>
    <t>347/6795</t>
  </si>
  <si>
    <t>265/6795</t>
  </si>
  <si>
    <t>3.9%</t>
  </si>
  <si>
    <t>259/6795</t>
  </si>
  <si>
    <t>287/6795</t>
  </si>
  <si>
    <t>271/6795</t>
  </si>
  <si>
    <t>4.0%</t>
  </si>
  <si>
    <t>281/6795</t>
  </si>
  <si>
    <t>4.1%</t>
  </si>
  <si>
    <t>278/6795</t>
  </si>
  <si>
    <t>282/6795</t>
  </si>
  <si>
    <t>301/6795</t>
  </si>
  <si>
    <t>299/6795</t>
  </si>
  <si>
    <t>253/6795</t>
  </si>
  <si>
    <t>(3.9%)</t>
  </si>
  <si>
    <t>268/6795</t>
  </si>
  <si>
    <t>274/6795</t>
  </si>
  <si>
    <t>(4.0%)</t>
  </si>
  <si>
    <t>477/7245</t>
  </si>
  <si>
    <t>468/7269</t>
  </si>
  <si>
    <t>477/7257</t>
  </si>
  <si>
    <t>457/7248</t>
  </si>
  <si>
    <t>470/7224</t>
  </si>
  <si>
    <t>461/7188</t>
  </si>
  <si>
    <t>450/7170</t>
  </si>
  <si>
    <t>464/7208</t>
  </si>
  <si>
    <t>441/7175</t>
  </si>
  <si>
    <t>437/7196</t>
  </si>
  <si>
    <t>498/7305</t>
  </si>
  <si>
    <t>500/7285</t>
  </si>
  <si>
    <t>483/7260</t>
  </si>
  <si>
    <t>482/7284</t>
  </si>
  <si>
    <t>488/7279</t>
  </si>
  <si>
    <t>480/7294</t>
  </si>
  <si>
    <t>493/7256</t>
  </si>
  <si>
    <t>461/7213</t>
  </si>
  <si>
    <t>471/7232</t>
  </si>
  <si>
    <t>472/7238</t>
  </si>
  <si>
    <t>511/7311</t>
  </si>
  <si>
    <t>500/7304</t>
  </si>
  <si>
    <t>494/7297</t>
  </si>
  <si>
    <t>487/7255</t>
  </si>
  <si>
    <t>69.4%</t>
  </si>
  <si>
    <t>68.5%</t>
  </si>
  <si>
    <t>68.3%</t>
  </si>
  <si>
    <t>66.1%</t>
  </si>
  <si>
    <t>69.7%</t>
  </si>
  <si>
    <t>69.8%</t>
  </si>
  <si>
    <t>70.6%</t>
  </si>
  <si>
    <t>72.3%</t>
  </si>
  <si>
    <t>73.1%</t>
  </si>
  <si>
    <t>74.3%</t>
  </si>
  <si>
    <t>72.5%</t>
  </si>
  <si>
    <t>74.9%</t>
  </si>
  <si>
    <t>75.6%</t>
  </si>
  <si>
    <t>75.3%</t>
  </si>
  <si>
    <t>74.8%</t>
  </si>
  <si>
    <t>75.1%</t>
  </si>
  <si>
    <t>73.8%</t>
  </si>
  <si>
    <t>76.1%</t>
  </si>
  <si>
    <t>75.8%</t>
  </si>
  <si>
    <t>75.9%</t>
  </si>
  <si>
    <t>5027/6501</t>
  </si>
  <si>
    <t>77.3%</t>
  </si>
  <si>
    <t>4913/6490</t>
  </si>
  <si>
    <t>75.7%</t>
  </si>
  <si>
    <t>5036/6511</t>
  </si>
  <si>
    <t>4965/6498</t>
  </si>
  <si>
    <t>4963/6488</t>
  </si>
  <si>
    <t>76.5%</t>
  </si>
  <si>
    <t>5046/6504</t>
  </si>
  <si>
    <t>77.6%</t>
  </si>
  <si>
    <t>4979/6469</t>
  </si>
  <si>
    <t>4923/6482</t>
  </si>
  <si>
    <t>4970/6479</t>
  </si>
  <si>
    <t>4756/6448</t>
  </si>
  <si>
    <t>5092/6530</t>
  </si>
  <si>
    <t>5136/6536</t>
  </si>
  <si>
    <t>78.6%</t>
  </si>
  <si>
    <t>5115/6508</t>
  </si>
  <si>
    <t>5085/6524</t>
  </si>
  <si>
    <t>77.9%</t>
  </si>
  <si>
    <t>5106/6514</t>
  </si>
  <si>
    <t>78.4%</t>
  </si>
  <si>
    <t>5027/6511</t>
  </si>
  <si>
    <t>77.2%</t>
  </si>
  <si>
    <t>5092/6517</t>
  </si>
  <si>
    <t>78.1%</t>
  </si>
  <si>
    <t>5125/6513</t>
  </si>
  <si>
    <t>78.7%</t>
  </si>
  <si>
    <t>5029/6494</t>
  </si>
  <si>
    <t>77.4%</t>
  </si>
  <si>
    <t>5018/6496</t>
  </si>
  <si>
    <t>5173/6542</t>
  </si>
  <si>
    <t>79.1%</t>
  </si>
  <si>
    <t>5153/6530</t>
  </si>
  <si>
    <t>78.9%</t>
  </si>
  <si>
    <t>5148/6527</t>
  </si>
  <si>
    <t>5156/6521</t>
  </si>
  <si>
    <t>2092/42170</t>
  </si>
  <si>
    <t>2366/42110</t>
  </si>
  <si>
    <t>2151/42204</t>
  </si>
  <si>
    <t>2382/42171</t>
  </si>
  <si>
    <t>2213/42112</t>
  </si>
  <si>
    <t>2039/42188</t>
  </si>
  <si>
    <t>2175/42021</t>
  </si>
  <si>
    <t>2308/42080</t>
  </si>
  <si>
    <t>2253/42070</t>
  </si>
  <si>
    <t>2580/41890</t>
  </si>
  <si>
    <t>2109/42312</t>
  </si>
  <si>
    <t>2000/42352</t>
  </si>
  <si>
    <t>2076/42231</t>
  </si>
  <si>
    <t>2130/42272</t>
  </si>
  <si>
    <t>2112/42258</t>
  </si>
  <si>
    <t>2323/42204</t>
  </si>
  <si>
    <t>2044/42235</t>
  </si>
  <si>
    <t>1988/42239</t>
  </si>
  <si>
    <t>2199/42123</t>
  </si>
  <si>
    <t>2258/42140</t>
  </si>
  <si>
    <t>1962/42373</t>
  </si>
  <si>
    <t>2060/42293</t>
  </si>
  <si>
    <t>2090/42305</t>
  </si>
  <si>
    <t>2009/42275</t>
  </si>
  <si>
    <t>169/39900</t>
  </si>
  <si>
    <t>162/39487</t>
  </si>
  <si>
    <t>169/39859</t>
  </si>
  <si>
    <t>159/39577</t>
  </si>
  <si>
    <t>154/39664</t>
  </si>
  <si>
    <t>171/39976</t>
  </si>
  <si>
    <t>166/39664</t>
  </si>
  <si>
    <t>157/39528</t>
  </si>
  <si>
    <t>168/39597</t>
  </si>
  <si>
    <t>178/39047</t>
  </si>
  <si>
    <t>172/40072</t>
  </si>
  <si>
    <t>168/40246</t>
  </si>
  <si>
    <t>169/40063</t>
  </si>
  <si>
    <t>169/39988</t>
  </si>
  <si>
    <t>172/40019</t>
  </si>
  <si>
    <t>166/39714</t>
  </si>
  <si>
    <t>169/40077</t>
  </si>
  <si>
    <t>170/40133</t>
  </si>
  <si>
    <t>161/39778</t>
  </si>
  <si>
    <t>167/39714</t>
  </si>
  <si>
    <t>173/40344</t>
  </si>
  <si>
    <t>179/40189</t>
  </si>
  <si>
    <t>171/40125</t>
  </si>
  <si>
    <t>174/40201</t>
  </si>
  <si>
    <t>2442/35440</t>
  </si>
  <si>
    <t>2793/35392</t>
  </si>
  <si>
    <t>2481/35463</t>
  </si>
  <si>
    <t>2770/35443</t>
  </si>
  <si>
    <t>2588/35398</t>
  </si>
  <si>
    <t>2319/35455</t>
  </si>
  <si>
    <t>2507/35327</t>
  </si>
  <si>
    <t>2648/35372</t>
  </si>
  <si>
    <t>2578/35364</t>
  </si>
  <si>
    <t>3001/35219</t>
  </si>
  <si>
    <t>2482/35547</t>
  </si>
  <si>
    <t>2319/35584</t>
  </si>
  <si>
    <t>2423/35493</t>
  </si>
  <si>
    <t>2491/35516</t>
  </si>
  <si>
    <t>2457/35514</t>
  </si>
  <si>
    <t>2711/35463</t>
  </si>
  <si>
    <t>2369/35490</t>
  </si>
  <si>
    <t>2295/35498</t>
  </si>
  <si>
    <t>2562/35401</t>
  </si>
  <si>
    <t>2611/35416</t>
  </si>
  <si>
    <t>2306/35598</t>
  </si>
  <si>
    <t>2410/35532</t>
  </si>
  <si>
    <t>2433/35546</t>
  </si>
  <si>
    <t>2321/35523</t>
  </si>
  <si>
    <t>165/32890</t>
  </si>
  <si>
    <t>142/32474</t>
  </si>
  <si>
    <t>151/32844</t>
  </si>
  <si>
    <t>142/32554</t>
  </si>
  <si>
    <t>139/32679</t>
  </si>
  <si>
    <t>160/33009</t>
  </si>
  <si>
    <t>140/32695</t>
  </si>
  <si>
    <t>138/32570</t>
  </si>
  <si>
    <t>148/32646</t>
  </si>
  <si>
    <t>156/32096</t>
  </si>
  <si>
    <t>157/32981</t>
  </si>
  <si>
    <t>163/33166</t>
  </si>
  <si>
    <t>157/32983</t>
  </si>
  <si>
    <t>148/32916</t>
  </si>
  <si>
    <t>151/32955</t>
  </si>
  <si>
    <t>146/32646</t>
  </si>
  <si>
    <t>155/33031</t>
  </si>
  <si>
    <t>157/33103</t>
  </si>
  <si>
    <t>148/32739</t>
  </si>
  <si>
    <t>146/32691</t>
  </si>
  <si>
    <t>165/33220</t>
  </si>
  <si>
    <t>164/33056</t>
  </si>
  <si>
    <t>153/33031</t>
  </si>
  <si>
    <t>159/33123</t>
  </si>
  <si>
    <t>CONDITIONS COMBINATION – JEC21 (C3Q pipeline with merged GTF from replicates)</t>
  </si>
  <si>
    <t>3873/42672</t>
  </si>
  <si>
    <t>3235/42672</t>
  </si>
  <si>
    <t>3977/42672</t>
  </si>
  <si>
    <t>3397/42672</t>
  </si>
  <si>
    <t>4620/42672</t>
  </si>
  <si>
    <t>3579/42672</t>
  </si>
  <si>
    <t>3183/42672</t>
  </si>
  <si>
    <t>3832/42672</t>
  </si>
  <si>
    <t>3387/42672</t>
  </si>
  <si>
    <t>1012/39616</t>
  </si>
  <si>
    <t>1098/40416</t>
  </si>
  <si>
    <t>1000/39461</t>
  </si>
  <si>
    <t>1047/40191</t>
  </si>
  <si>
    <t>916/38689</t>
  </si>
  <si>
    <t>1053/39967</t>
  </si>
  <si>
    <t>1071/40486</t>
  </si>
  <si>
    <t>996/39666</t>
  </si>
  <si>
    <t>1072/40397</t>
  </si>
  <si>
    <t>1040/40223</t>
  </si>
  <si>
    <t>3940/35941</t>
  </si>
  <si>
    <t>3399/35941</t>
  </si>
  <si>
    <t>4049/35941</t>
  </si>
  <si>
    <t>3531/35941</t>
  </si>
  <si>
    <t>4606/35941</t>
  </si>
  <si>
    <t>3719/35941</t>
  </si>
  <si>
    <t>3314/35941</t>
  </si>
  <si>
    <t>3892/35941</t>
  </si>
  <si>
    <t>3382/35941</t>
  </si>
  <si>
    <t>3488/35941</t>
  </si>
  <si>
    <t>531/32396</t>
  </si>
  <si>
    <t>540/32952</t>
  </si>
  <si>
    <t>514/32255</t>
  </si>
  <si>
    <t>524/32808</t>
  </si>
  <si>
    <t>503/31697</t>
  </si>
  <si>
    <t>531/32589</t>
  </si>
  <si>
    <t>538/33047</t>
  </si>
  <si>
    <t>509/32432</t>
  </si>
  <si>
    <t>537/32953</t>
  </si>
  <si>
    <t>520/32833</t>
  </si>
  <si>
    <t>316/6639</t>
  </si>
  <si>
    <t>247/6639</t>
  </si>
  <si>
    <t>3.7%</t>
  </si>
  <si>
    <t>265/6639</t>
  </si>
  <si>
    <t>401/6639</t>
  </si>
  <si>
    <t>273/6639</t>
  </si>
  <si>
    <t>252/6639</t>
  </si>
  <si>
    <t>250/6639</t>
  </si>
  <si>
    <t>267/6639</t>
  </si>
  <si>
    <t>495/7037</t>
  </si>
  <si>
    <t>567/7229</t>
  </si>
  <si>
    <t>498/7058</t>
  </si>
  <si>
    <t>527/7169</t>
  </si>
  <si>
    <t>431/6885</t>
  </si>
  <si>
    <t>526/7177</t>
  </si>
  <si>
    <t>547/7188</t>
  </si>
  <si>
    <t>498/7052</t>
  </si>
  <si>
    <t>546/7204</t>
  </si>
  <si>
    <t>527/7161</t>
  </si>
  <si>
    <t>4619/7037</t>
  </si>
  <si>
    <t>65.6%</t>
  </si>
  <si>
    <t>4821/7229</t>
  </si>
  <si>
    <t>66.7%</t>
  </si>
  <si>
    <t>4576/7058</t>
  </si>
  <si>
    <t>64.8%</t>
  </si>
  <si>
    <t>4739/7169</t>
  </si>
  <si>
    <t>4347/6885</t>
  </si>
  <si>
    <t>63.1%</t>
  </si>
  <si>
    <t>4664/7177</t>
  </si>
  <si>
    <t>4855/7188</t>
  </si>
  <si>
    <t>4664/7052</t>
  </si>
  <si>
    <t>4835/7204</t>
  </si>
  <si>
    <t>67.1%</t>
  </si>
  <si>
    <t>4760/7161</t>
  </si>
  <si>
    <t>4619/6639</t>
  </si>
  <si>
    <t>4821/6639</t>
  </si>
  <si>
    <t>72.6%</t>
  </si>
  <si>
    <t>4576/6639</t>
  </si>
  <si>
    <t>4739/6639</t>
  </si>
  <si>
    <t>4347/6639</t>
  </si>
  <si>
    <t>4664/6639</t>
  </si>
  <si>
    <t>4855/6639</t>
  </si>
  <si>
    <t>4835/6639</t>
  </si>
  <si>
    <t>72.8%</t>
  </si>
  <si>
    <t>4760/6639</t>
  </si>
  <si>
    <t>71.7%</t>
  </si>
  <si>
    <t>4619/6323</t>
  </si>
  <si>
    <t>4821/6392</t>
  </si>
  <si>
    <t>4576/6321</t>
  </si>
  <si>
    <t>72.4%</t>
  </si>
  <si>
    <t>4739/6374</t>
  </si>
  <si>
    <t>4347/6238</t>
  </si>
  <si>
    <t>4664/6366</t>
  </si>
  <si>
    <t>4855/6387</t>
  </si>
  <si>
    <t>4664/6321</t>
  </si>
  <si>
    <t>4835/6389</t>
  </si>
  <si>
    <t>4760/6372</t>
  </si>
  <si>
    <t>74.7%</t>
  </si>
  <si>
    <t>2379/41178</t>
  </si>
  <si>
    <t>2132/41569</t>
  </si>
  <si>
    <t>2481/41176</t>
  </si>
  <si>
    <t>2207/41482</t>
  </si>
  <si>
    <t>2640/40692</t>
  </si>
  <si>
    <t>2316/41409</t>
  </si>
  <si>
    <t>2050/41539</t>
  </si>
  <si>
    <t>2348/41188</t>
  </si>
  <si>
    <t>2117/41554</t>
  </si>
  <si>
    <t>2187/41472</t>
  </si>
  <si>
    <t>169/38773</t>
  </si>
  <si>
    <t>161/39479</t>
  </si>
  <si>
    <t>167/38628</t>
  </si>
  <si>
    <t>164/39308</t>
  </si>
  <si>
    <t>169/37942</t>
  </si>
  <si>
    <t>161/39075</t>
  </si>
  <si>
    <t>167/39582</t>
  </si>
  <si>
    <t>164/38834</t>
  </si>
  <si>
    <t>157/39482</t>
  </si>
  <si>
    <t>161/39344</t>
  </si>
  <si>
    <t>2766/34767</t>
  </si>
  <si>
    <t>2546/35088</t>
  </si>
  <si>
    <t>2876/34768</t>
  </si>
  <si>
    <t>2610/35020</t>
  </si>
  <si>
    <t>3036/34371</t>
  </si>
  <si>
    <t>2733/34955</t>
  </si>
  <si>
    <t>2436/35063</t>
  </si>
  <si>
    <t>2731/34780</t>
  </si>
  <si>
    <t>2517/35076</t>
  </si>
  <si>
    <t>2559/35012</t>
  </si>
  <si>
    <t>184/32049</t>
  </si>
  <si>
    <t>172/32584</t>
  </si>
  <si>
    <t>179/31920</t>
  </si>
  <si>
    <t>171/32455</t>
  </si>
  <si>
    <t>188/31382</t>
  </si>
  <si>
    <t>167/32225</t>
  </si>
  <si>
    <t>184/32693</t>
  </si>
  <si>
    <t>176/32099</t>
  </si>
  <si>
    <t>170/32586</t>
  </si>
  <si>
    <t>171/32484</t>
  </si>
  <si>
    <t>SEQUENCING DEPTH EXPO30 – H99</t>
  </si>
  <si>
    <t>1 million reads</t>
  </si>
  <si>
    <t>5 million reads</t>
  </si>
  <si>
    <t>7.5 million reads</t>
  </si>
  <si>
    <t>10 million reads</t>
  </si>
  <si>
    <t>15 million reads</t>
  </si>
  <si>
    <t>20 million reads</t>
  </si>
  <si>
    <t>30 million reads</t>
  </si>
  <si>
    <t>40 million reads</t>
  </si>
  <si>
    <t>-+40 million reads (whole replicates)</t>
  </si>
  <si>
    <t>6185/43354</t>
  </si>
  <si>
    <t>2831/43354</t>
  </si>
  <si>
    <t>2849/43354</t>
  </si>
  <si>
    <t>2912/43354</t>
  </si>
  <si>
    <t>3137/43354</t>
  </si>
  <si>
    <t>3284/43354</t>
  </si>
  <si>
    <t>3515/43354</t>
  </si>
  <si>
    <t>3701/43354</t>
  </si>
  <si>
    <t>743/37436</t>
  </si>
  <si>
    <t>1015/41048</t>
  </si>
  <si>
    <t>1011/41079</t>
  </si>
  <si>
    <t>1036/41018</t>
  </si>
  <si>
    <t>1010/40787</t>
  </si>
  <si>
    <t>976/40604</t>
  </si>
  <si>
    <t>936/40317</t>
  </si>
  <si>
    <t>920/40129</t>
  </si>
  <si>
    <t>5825/36307</t>
  </si>
  <si>
    <t>16.0%</t>
  </si>
  <si>
    <t>3026/36307</t>
  </si>
  <si>
    <t>3024/36307</t>
  </si>
  <si>
    <t>3100/36307</t>
  </si>
  <si>
    <t>3274/36307</t>
  </si>
  <si>
    <t>3392/36307</t>
  </si>
  <si>
    <t>3603/36307</t>
  </si>
  <si>
    <t>3751/36307</t>
  </si>
  <si>
    <t>459/30626</t>
  </si>
  <si>
    <t>547/33519</t>
  </si>
  <si>
    <t>524/33526</t>
  </si>
  <si>
    <t>531/33457</t>
  </si>
  <si>
    <t>497/33257</t>
  </si>
  <si>
    <t>497/33133</t>
  </si>
  <si>
    <t>463/32886</t>
  </si>
  <si>
    <t>457/32715</t>
  </si>
  <si>
    <t>639/6795</t>
  </si>
  <si>
    <t>228/6795</t>
  </si>
  <si>
    <t>3.4%</t>
  </si>
  <si>
    <t>238/6795</t>
  </si>
  <si>
    <t>3.5%</t>
  </si>
  <si>
    <t>233/6795</t>
  </si>
  <si>
    <t>247/6795</t>
  </si>
  <si>
    <t>3.6%</t>
  </si>
  <si>
    <t>273/6795</t>
  </si>
  <si>
    <t>290/6745</t>
  </si>
  <si>
    <t>434/7345</t>
  </si>
  <si>
    <t>454/7344</t>
  </si>
  <si>
    <t>471/7361</t>
  </si>
  <si>
    <t>475/7320</t>
  </si>
  <si>
    <t>455/7271</t>
  </si>
  <si>
    <t>452/7247</t>
  </si>
  <si>
    <t>446/7225</t>
  </si>
  <si>
    <t>67.8%</t>
  </si>
  <si>
    <t>67.3%</t>
  </si>
  <si>
    <t>74.6%</t>
  </si>
  <si>
    <t>4191/6156</t>
  </si>
  <si>
    <t>5059/6567</t>
  </si>
  <si>
    <t>5068/6557</t>
  </si>
  <si>
    <t>5056/6562</t>
  </si>
  <si>
    <t>5028/6548</t>
  </si>
  <si>
    <t>76.8%</t>
  </si>
  <si>
    <t>4970/6522</t>
  </si>
  <si>
    <t>76.2%</t>
  </si>
  <si>
    <t>4916/6498</t>
  </si>
  <si>
    <t>4864/6479</t>
  </si>
  <si>
    <t>3426/40595</t>
  </si>
  <si>
    <t>2043/42566</t>
  </si>
  <si>
    <t>1970/42475</t>
  </si>
  <si>
    <t>2035/42477</t>
  </si>
  <si>
    <t>2176/42393</t>
  </si>
  <si>
    <t>2180/42250</t>
  </si>
  <si>
    <t>2316/42155</t>
  </si>
  <si>
    <t>2400/42053</t>
  </si>
  <si>
    <t>186/36879</t>
  </si>
  <si>
    <t>211/40244</t>
  </si>
  <si>
    <t>210/40278</t>
  </si>
  <si>
    <t>208/40190</t>
  </si>
  <si>
    <t>202/39979</t>
  </si>
  <si>
    <t>190/39818</t>
  </si>
  <si>
    <t>172/39553</t>
  </si>
  <si>
    <t>168/39377</t>
  </si>
  <si>
    <t>3752/34234</t>
  </si>
  <si>
    <t>2476/35757</t>
  </si>
  <si>
    <t>2398/35681</t>
  </si>
  <si>
    <t>2467/35674</t>
  </si>
  <si>
    <t>2576/35609</t>
  </si>
  <si>
    <t>2580/35495</t>
  </si>
  <si>
    <t>2724/35428</t>
  </si>
  <si>
    <t>2791/35347</t>
  </si>
  <si>
    <t>193/30360</t>
  </si>
  <si>
    <t>179/33151</t>
  </si>
  <si>
    <t>179/33181</t>
  </si>
  <si>
    <t>177/33103</t>
  </si>
  <si>
    <t>165/32925</t>
  </si>
  <si>
    <t>167/32803</t>
  </si>
  <si>
    <t>153/32576</t>
  </si>
  <si>
    <t>155/32413</t>
  </si>
  <si>
    <t>Cufflinks transcripts</t>
  </si>
  <si>
    <t>SEQUENCING DEPTH EXPO30 – JEC21</t>
  </si>
  <si>
    <t>4805/42672</t>
  </si>
  <si>
    <t>2151/42672</t>
  </si>
  <si>
    <t>2219/42672</t>
  </si>
  <si>
    <t>2292/42672</t>
  </si>
  <si>
    <t>2483/42672</t>
  </si>
  <si>
    <t>2624/42672</t>
  </si>
  <si>
    <t>3075/42672</t>
  </si>
  <si>
    <t>3338/42672</t>
  </si>
  <si>
    <t>992/38581</t>
  </si>
  <si>
    <t>1332/41743</t>
  </si>
  <si>
    <t>3.2%</t>
  </si>
  <si>
    <t>1341/41678</t>
  </si>
  <si>
    <t>1302/41602</t>
  </si>
  <si>
    <t>3.1%</t>
  </si>
  <si>
    <t>1226/41291</t>
  </si>
  <si>
    <t>3.0%</t>
  </si>
  <si>
    <t>1217/41138</t>
  </si>
  <si>
    <t>1170/40603</t>
  </si>
  <si>
    <t>2.9%</t>
  </si>
  <si>
    <t>1110/40249</t>
  </si>
  <si>
    <t>2.8%</t>
  </si>
  <si>
    <t>4866/35941</t>
  </si>
  <si>
    <t>2414/35941</t>
  </si>
  <si>
    <t>2478/35941</t>
  </si>
  <si>
    <t>2541/35941</t>
  </si>
  <si>
    <t>2686/35941</t>
  </si>
  <si>
    <t>2783/35941</t>
  </si>
  <si>
    <t>3177/35941</t>
  </si>
  <si>
    <t>3430/35941</t>
  </si>
  <si>
    <t>571/31456</t>
  </si>
  <si>
    <t>1.8%</t>
  </si>
  <si>
    <t>648/34041</t>
  </si>
  <si>
    <t>649/33996</t>
  </si>
  <si>
    <t>625/33921</t>
  </si>
  <si>
    <t>600/33732</t>
  </si>
  <si>
    <t>598/33617</t>
  </si>
  <si>
    <t>575/33198</t>
  </si>
  <si>
    <t>554/32914</t>
  </si>
  <si>
    <t>369/6639</t>
  </si>
  <si>
    <t>145/6639</t>
  </si>
  <si>
    <t>149/6639</t>
  </si>
  <si>
    <t>162/6639</t>
  </si>
  <si>
    <t>175/6639</t>
  </si>
  <si>
    <t>194/6639</t>
  </si>
  <si>
    <t>240/6639</t>
  </si>
  <si>
    <t>259/6639</t>
  </si>
  <si>
    <t>431/7034</t>
  </si>
  <si>
    <t>669/7480</t>
  </si>
  <si>
    <t>669/7455</t>
  </si>
  <si>
    <t>667/7435</t>
  </si>
  <si>
    <t>627/7340</t>
  </si>
  <si>
    <t>617/7293</t>
  </si>
  <si>
    <t>586/7212</t>
  </si>
  <si>
    <t>552/7153</t>
  </si>
  <si>
    <t>4348/7034</t>
  </si>
  <si>
    <t>5123/7480</t>
  </si>
  <si>
    <t>5110/7455</t>
  </si>
  <si>
    <t>5087/7435</t>
  </si>
  <si>
    <t>5026/7340</t>
  </si>
  <si>
    <t>4977/7293</t>
  </si>
  <si>
    <t>68.2%</t>
  </si>
  <si>
    <t>4828/7212</t>
  </si>
  <si>
    <t>4754/7153</t>
  </si>
  <si>
    <t>4348/6639</t>
  </si>
  <si>
    <t>5123/6639</t>
  </si>
  <si>
    <t>5110/6639</t>
  </si>
  <si>
    <t>5087/6639</t>
  </si>
  <si>
    <t>76.6%</t>
  </si>
  <si>
    <t>5026/6639</t>
  </si>
  <si>
    <t>4977/6639</t>
  </si>
  <si>
    <t>4828/6639</t>
  </si>
  <si>
    <t>4754/6639</t>
  </si>
  <si>
    <t>4348/6270</t>
  </si>
  <si>
    <t>5123/6494</t>
  </si>
  <si>
    <t>5110/6490</t>
  </si>
  <si>
    <t>5087/6477</t>
  </si>
  <si>
    <t>78.5%</t>
  </si>
  <si>
    <t>5026/6464</t>
  </si>
  <si>
    <t>77.8%</t>
  </si>
  <si>
    <t>4977/6445</t>
  </si>
  <si>
    <t>4828/6399</t>
  </si>
  <si>
    <t>4754/6380</t>
  </si>
  <si>
    <t>3117/40984</t>
  </si>
  <si>
    <t>1578/42099</t>
  </si>
  <si>
    <t>1628/42081</t>
  </si>
  <si>
    <t>1610/41990</t>
  </si>
  <si>
    <t>1741/41930</t>
  </si>
  <si>
    <t>1794/41842</t>
  </si>
  <si>
    <t>1979/41576</t>
  </si>
  <si>
    <t>2153/41487</t>
  </si>
  <si>
    <t>199/37788</t>
  </si>
  <si>
    <t>180/40591</t>
  </si>
  <si>
    <t>188/40525</t>
  </si>
  <si>
    <t>180/40480</t>
  </si>
  <si>
    <t>159/40224</t>
  </si>
  <si>
    <t>170/40091</t>
  </si>
  <si>
    <t>178/39611</t>
  </si>
  <si>
    <t>173/39312</t>
  </si>
  <si>
    <t>3555/34630</t>
  </si>
  <si>
    <t>1987/35514</t>
  </si>
  <si>
    <t>2037/35500</t>
  </si>
  <si>
    <t>2022/35422</t>
  </si>
  <si>
    <t>2120/35375</t>
  </si>
  <si>
    <t>2149/35307</t>
  </si>
  <si>
    <t>2323/35087</t>
  </si>
  <si>
    <t>2507/35018</t>
  </si>
  <si>
    <t>211/31096</t>
  </si>
  <si>
    <t>168/33561</t>
  </si>
  <si>
    <t>168/33515</t>
  </si>
  <si>
    <t>174/33470</t>
  </si>
  <si>
    <t>161/33293</t>
  </si>
  <si>
    <t>173/33192</t>
  </si>
  <si>
    <t>175/32798</t>
  </si>
  <si>
    <t>172/32532</t>
  </si>
  <si>
    <t>CONDITIONS SUBSAMPLED BAM 7.5 million reads- H99 (C3Q pipeline with merged GTF from subsampled replicates)</t>
  </si>
  <si>
    <t>2506/43354</t>
  </si>
  <si>
    <t>2744/43354</t>
  </si>
  <si>
    <t>3611/43354</t>
  </si>
  <si>
    <t>1715/43354</t>
  </si>
  <si>
    <t>1641/43354</t>
  </si>
  <si>
    <t>1085/41498</t>
  </si>
  <si>
    <t>1025/41191</t>
  </si>
  <si>
    <t>1078/41000</t>
  </si>
  <si>
    <t>942/40159</t>
  </si>
  <si>
    <t>1327/42862</t>
  </si>
  <si>
    <t>1431/43135</t>
  </si>
  <si>
    <t>3.3%</t>
  </si>
  <si>
    <t>2663/36307</t>
  </si>
  <si>
    <t>2887/36307</t>
  </si>
  <si>
    <t>3201/36307</t>
  </si>
  <si>
    <t>3916/36307</t>
  </si>
  <si>
    <t>1886/36307</t>
  </si>
  <si>
    <t>1815/36307</t>
  </si>
  <si>
    <t>548/33908</t>
  </si>
  <si>
    <t>497/33621</t>
  </si>
  <si>
    <t>504/33326</t>
  </si>
  <si>
    <t>459/32541</t>
  </si>
  <si>
    <t>657/34878</t>
  </si>
  <si>
    <t>693/35022</t>
  </si>
  <si>
    <t>215/6795</t>
  </si>
  <si>
    <t>222/6795</t>
  </si>
  <si>
    <t>236/6795</t>
  </si>
  <si>
    <t>263/6795</t>
  </si>
  <si>
    <t>138/6795</t>
  </si>
  <si>
    <t>129/6795</t>
  </si>
  <si>
    <t>502/7376</t>
  </si>
  <si>
    <t>485/7355</t>
  </si>
  <si>
    <t>539/7464</t>
  </si>
  <si>
    <t>462/7444</t>
  </si>
  <si>
    <t>651/7584</t>
  </si>
  <si>
    <t>703/7656</t>
  </si>
  <si>
    <t>67.2%</t>
  </si>
  <si>
    <t>72.9%</t>
  </si>
  <si>
    <t>5566/7656</t>
  </si>
  <si>
    <t>69.9%</t>
  </si>
  <si>
    <t>81.4%</t>
  </si>
  <si>
    <t>5566/6795</t>
  </si>
  <si>
    <t>81.9%</t>
  </si>
  <si>
    <t>5209/6580</t>
  </si>
  <si>
    <t>79.2%</t>
  </si>
  <si>
    <t>5105/6573</t>
  </si>
  <si>
    <t>77.7%</t>
  </si>
  <si>
    <t>5013/6559</t>
  </si>
  <si>
    <t>4753/6532</t>
  </si>
  <si>
    <t>5528/6657</t>
  </si>
  <si>
    <t>5566/6666</t>
  </si>
  <si>
    <t>83.5%</t>
  </si>
  <si>
    <t>1733/42581</t>
  </si>
  <si>
    <t>1942/42552</t>
  </si>
  <si>
    <t>2129/42481</t>
  </si>
  <si>
    <t>2638/42381</t>
  </si>
  <si>
    <t>1292/42931</t>
  </si>
  <si>
    <t>1255/42968</t>
  </si>
  <si>
    <t>210/40623</t>
  </si>
  <si>
    <t>192/40358</t>
  </si>
  <si>
    <t>192/40114</t>
  </si>
  <si>
    <t>169/39386</t>
  </si>
  <si>
    <t>234/41769</t>
  </si>
  <si>
    <t>254/41958</t>
  </si>
  <si>
    <t>2115/35759</t>
  </si>
  <si>
    <t>2318/35738</t>
  </si>
  <si>
    <t>2577/35683</t>
  </si>
  <si>
    <t>3219/35610</t>
  </si>
  <si>
    <t>1607/36028</t>
  </si>
  <si>
    <t>1563/36055</t>
  </si>
  <si>
    <t>176/33536</t>
  </si>
  <si>
    <t>152/33276</t>
  </si>
  <si>
    <t>159/32981</t>
  </si>
  <si>
    <t>155/32237</t>
  </si>
  <si>
    <t>221/34442</t>
  </si>
  <si>
    <t>231/34560</t>
  </si>
  <si>
    <t>CONDITIONS SUBSAMPLED BAM 7.5 million reads- JEC21 (C3Q pipeline with merged GTF from subsampled replicates)</t>
  </si>
  <si>
    <t>3230/42672</t>
  </si>
  <si>
    <t>2502/42672</t>
  </si>
  <si>
    <t>3236/42672</t>
  </si>
  <si>
    <t>1681/42672</t>
  </si>
  <si>
    <t>1136/40439</t>
  </si>
  <si>
    <t>1380/41446</t>
  </si>
  <si>
    <t>1171/40439</t>
  </si>
  <si>
    <t>1504/42733</t>
  </si>
  <si>
    <t>3383/35941</t>
  </si>
  <si>
    <t>2840/35941</t>
  </si>
  <si>
    <t>3463/35941</t>
  </si>
  <si>
    <t>1904/35941</t>
  </si>
  <si>
    <t>573/32982</t>
  </si>
  <si>
    <t>667/33640</t>
  </si>
  <si>
    <t>579/32905</t>
  </si>
  <si>
    <t>744/34740</t>
  </si>
  <si>
    <t>227/6639</t>
  </si>
  <si>
    <t>160/6639</t>
  </si>
  <si>
    <t>223/6639</t>
  </si>
  <si>
    <t>116/6639</t>
  </si>
  <si>
    <t>558/7258</t>
  </si>
  <si>
    <t>698/7555</t>
  </si>
  <si>
    <t>597/7337</t>
  </si>
  <si>
    <t>762/7561</t>
  </si>
  <si>
    <t>4760/7258</t>
  </si>
  <si>
    <t>4955/7555</t>
  </si>
  <si>
    <t>4747/7337</t>
  </si>
  <si>
    <t>5428/7561</t>
  </si>
  <si>
    <t>71.8%</t>
  </si>
  <si>
    <t>4955/6639</t>
  </si>
  <si>
    <t>4747/6639</t>
  </si>
  <si>
    <t>5428/6639</t>
  </si>
  <si>
    <t>81.8%</t>
  </si>
  <si>
    <t>4760/6412</t>
  </si>
  <si>
    <t>74.2%</t>
  </si>
  <si>
    <t>4955/6479</t>
  </si>
  <si>
    <t>4747/6416</t>
  </si>
  <si>
    <t>5428/6523</t>
  </si>
  <si>
    <t>83.2%</t>
  </si>
  <si>
    <t>2204/41646</t>
  </si>
  <si>
    <t>1868/42038</t>
  </si>
  <si>
    <t>2209/41645</t>
  </si>
  <si>
    <t>1265/42256</t>
  </si>
  <si>
    <t>192/39495</t>
  </si>
  <si>
    <t>193/40259</t>
  </si>
  <si>
    <t>182/39450</t>
  </si>
  <si>
    <t>208/41437</t>
  </si>
  <si>
    <t>2587/35145</t>
  </si>
  <si>
    <t>2367/35468</t>
  </si>
  <si>
    <t>2663/35141</t>
  </si>
  <si>
    <t>1605/35642</t>
  </si>
  <si>
    <t>193/32602</t>
  </si>
  <si>
    <t>183/33156</t>
  </si>
  <si>
    <t>190/32516</t>
  </si>
  <si>
    <t>221/34217</t>
  </si>
  <si>
    <t>FILTERS – H99</t>
  </si>
  <si>
    <t>SELECTED FILTERS</t>
  </si>
  <si>
    <t>ADDITIONAL TESTED FILTERS</t>
  </si>
  <si>
    <t>WITHOUT FILTER</t>
  </si>
  <si>
    <t>A+D+E</t>
  </si>
  <si>
    <t>A+D+E+F</t>
  </si>
  <si>
    <t>D+E</t>
  </si>
  <si>
    <t>A+D+E+G</t>
  </si>
  <si>
    <t>Predicted transcripts</t>
  </si>
  <si>
    <t>1829/43354</t>
  </si>
  <si>
    <t>1675/43354</t>
  </si>
  <si>
    <t>1793/43354</t>
  </si>
  <si>
    <t>2363/43354</t>
  </si>
  <si>
    <t>1690/43354</t>
  </si>
  <si>
    <t>1673/43354</t>
  </si>
  <si>
    <t>1761/43354</t>
  </si>
  <si>
    <t>1796/43354</t>
  </si>
  <si>
    <t>1082/42322</t>
  </si>
  <si>
    <t>997/41891</t>
  </si>
  <si>
    <t>1305/42971</t>
  </si>
  <si>
    <t>1209/42746</t>
  </si>
  <si>
    <t>1004/41947</t>
  </si>
  <si>
    <t>1188/42837</t>
  </si>
  <si>
    <t>1369/42685</t>
  </si>
  <si>
    <t>1131/42398</t>
  </si>
  <si>
    <t>1214/42481</t>
  </si>
  <si>
    <t>1098/42246</t>
  </si>
  <si>
    <t>1032/41905</t>
  </si>
  <si>
    <t>1831/36307</t>
  </si>
  <si>
    <t>1933/36307</t>
  </si>
  <si>
    <t>1905/36307</t>
  </si>
  <si>
    <t>2281/36307</t>
  </si>
  <si>
    <t>1835/36307</t>
  </si>
  <si>
    <t>1888/36307</t>
  </si>
  <si>
    <t>1910/36307</t>
  </si>
  <si>
    <t>647/34865</t>
  </si>
  <si>
    <t>591/34590</t>
  </si>
  <si>
    <t>667/34980</t>
  </si>
  <si>
    <t>650/34889</t>
  </si>
  <si>
    <t>593/34452</t>
  </si>
  <si>
    <t>673/34907</t>
  </si>
  <si>
    <t>626/34821</t>
  </si>
  <si>
    <t>576/34713</t>
  </si>
  <si>
    <t>588/34604</t>
  </si>
  <si>
    <t>159/6795</t>
  </si>
  <si>
    <t>162/6795</t>
  </si>
  <si>
    <t>140/6795</t>
  </si>
  <si>
    <t>167/6795</t>
  </si>
  <si>
    <t>323/6795</t>
  </si>
  <si>
    <t>153/6795</t>
  </si>
  <si>
    <t>139/6795</t>
  </si>
  <si>
    <t>169/6795</t>
  </si>
  <si>
    <t>408/7301</t>
  </si>
  <si>
    <t>409/7301</t>
  </si>
  <si>
    <t>605/7536</t>
  </si>
  <si>
    <t>527/7413</t>
  </si>
  <si>
    <t>386/7075</t>
  </si>
  <si>
    <t>460/7365</t>
  </si>
  <si>
    <t>667/7620</t>
  </si>
  <si>
    <t>429/7334</t>
  </si>
  <si>
    <t>580/7519</t>
  </si>
  <si>
    <t>517/7423</t>
  </si>
  <si>
    <t>5546/7301</t>
  </si>
  <si>
    <t>76.0%</t>
  </si>
  <si>
    <t>5519/7301</t>
  </si>
  <si>
    <t>5562/7536</t>
  </si>
  <si>
    <t>5544/7413</t>
  </si>
  <si>
    <t>5423/7075</t>
  </si>
  <si>
    <t>5560/7365</t>
  </si>
  <si>
    <t>75.5%</t>
  </si>
  <si>
    <t>5555/7620</t>
  </si>
  <si>
    <t>5549/7334</t>
  </si>
  <si>
    <t>5551/7519</t>
  </si>
  <si>
    <t>5535/7423</t>
  </si>
  <si>
    <t>5499/7301</t>
  </si>
  <si>
    <t>5546/6795</t>
  </si>
  <si>
    <t>81.6%</t>
  </si>
  <si>
    <t>5519/6795</t>
  </si>
  <si>
    <t>81.2%</t>
  </si>
  <si>
    <t>5562/6795</t>
  </si>
  <si>
    <t>5544/6795</t>
  </si>
  <si>
    <t>5423/6795</t>
  </si>
  <si>
    <t>79.8%</t>
  </si>
  <si>
    <t>5560/6795</t>
  </si>
  <si>
    <t>5555/6795</t>
  </si>
  <si>
    <t>5549/6795</t>
  </si>
  <si>
    <t>81.7%</t>
  </si>
  <si>
    <t>5551/6795</t>
  </si>
  <si>
    <t>5535/6795</t>
  </si>
  <si>
    <t>81.5%</t>
  </si>
  <si>
    <t>5499/6795</t>
  </si>
  <si>
    <t>80.9%</t>
  </si>
  <si>
    <t>5546/6636</t>
  </si>
  <si>
    <t>83.6%</t>
  </si>
  <si>
    <t>5519/6633</t>
  </si>
  <si>
    <t>5562/6655</t>
  </si>
  <si>
    <t>5544/6628</t>
  </si>
  <si>
    <t>5423/6472</t>
  </si>
  <si>
    <t>83.8%</t>
  </si>
  <si>
    <t>5560/6642</t>
  </si>
  <si>
    <t>83.7%</t>
  </si>
  <si>
    <t>5555/6666</t>
  </si>
  <si>
    <t>83.3%</t>
  </si>
  <si>
    <t>5549/6642</t>
  </si>
  <si>
    <t>5551/6656</t>
  </si>
  <si>
    <t>83.4%</t>
  </si>
  <si>
    <t>5535/6626</t>
  </si>
  <si>
    <t>5499/6636</t>
  </si>
  <si>
    <t>82.9%</t>
  </si>
  <si>
    <t>1244/42883</t>
  </si>
  <si>
    <t>1348/42873</t>
  </si>
  <si>
    <t>1252/42931</t>
  </si>
  <si>
    <t>1266/42827</t>
  </si>
  <si>
    <t>1273/42264</t>
  </si>
  <si>
    <t>1243/42907</t>
  </si>
  <si>
    <t>1253/42934</t>
  </si>
  <si>
    <t>1261/42854</t>
  </si>
  <si>
    <t>1325/42883</t>
  </si>
  <si>
    <t>248/41488</t>
  </si>
  <si>
    <t>214/41108</t>
  </si>
  <si>
    <t>252/41918</t>
  </si>
  <si>
    <t>250/41787</t>
  </si>
  <si>
    <t>236/41179</t>
  </si>
  <si>
    <t>254/41903</t>
  </si>
  <si>
    <t>250/41566</t>
  </si>
  <si>
    <t>250/41517</t>
  </si>
  <si>
    <t>228/41495</t>
  </si>
  <si>
    <t>219/41367</t>
  </si>
  <si>
    <t>228/41101</t>
  </si>
  <si>
    <t>1525/36001</t>
  </si>
  <si>
    <t>1620/35994</t>
  </si>
  <si>
    <t>1554/36030</t>
  </si>
  <si>
    <t>1551/35953</t>
  </si>
  <si>
    <t>1524/35550</t>
  </si>
  <si>
    <t>1526/36018</t>
  </si>
  <si>
    <t>1559/36031</t>
  </si>
  <si>
    <t>1562/35981</t>
  </si>
  <si>
    <t>1604/36001</t>
  </si>
  <si>
    <t>231/34449</t>
  </si>
  <si>
    <t>217/34216</t>
  </si>
  <si>
    <t>231/34544</t>
  </si>
  <si>
    <t>230/34469</t>
  </si>
  <si>
    <t>222/34081</t>
  </si>
  <si>
    <t>231/34465</t>
  </si>
  <si>
    <t>227/34422</t>
  </si>
  <si>
    <t>216/34353</t>
  </si>
  <si>
    <t>192/34208</t>
  </si>
  <si>
    <t>A: Deletion of sequences &lt;150nt</t>
  </si>
  <si>
    <t>B: Deletion of sequences &lt;200nt</t>
  </si>
  <si>
    <t>C: Deletion of sequences &lt;300nt</t>
  </si>
  <si>
    <t>D: Deletion of intronless sequences &lt;300nt</t>
  </si>
  <si>
    <t>E: Deletion of genome-predicted sequences without reads</t>
  </si>
  <si>
    <t>F: Selection of the longest transcript from RNA-Seq data or the longest genome-predicted longest transcript by loci. The longest genome-predicted transcript is only selected if RNA-Seq predicted transcripts are not available.</t>
  </si>
  <si>
    <t>G: Selection of the longest transcript by loci (RNA-Seq or genome-predicted)</t>
  </si>
  <si>
    <t>H: Deletion of genome-predicted sequences without reads in EXPO30 condition</t>
  </si>
  <si>
    <t>I: Deletion of genome-predicted sequences with FPKM &lt;1</t>
  </si>
  <si>
    <t>FILTERS – JEC21</t>
  </si>
  <si>
    <t>1750/42672</t>
  </si>
  <si>
    <t>1846/42672</t>
  </si>
  <si>
    <t>1715/42672</t>
  </si>
  <si>
    <t>1812/42672</t>
  </si>
  <si>
    <t>2295/42672</t>
  </si>
  <si>
    <t>1717/42672</t>
  </si>
  <si>
    <t>1690/42672</t>
  </si>
  <si>
    <t>1726/42672</t>
  </si>
  <si>
    <t>1793/42672</t>
  </si>
  <si>
    <t>1076/41876</t>
  </si>
  <si>
    <t>1047/41568</t>
  </si>
  <si>
    <t>1396/42589</t>
  </si>
  <si>
    <t>1319/42403</t>
  </si>
  <si>
    <t>1090/41669</t>
  </si>
  <si>
    <t>1313/42500</t>
  </si>
  <si>
    <t>1302/42164</t>
  </si>
  <si>
    <t>1124/41948</t>
  </si>
  <si>
    <t>1054/41585</t>
  </si>
  <si>
    <t>1922/35941</t>
  </si>
  <si>
    <t>2016/35941</t>
  </si>
  <si>
    <t>1917/35941</t>
  </si>
  <si>
    <t>1980/35941</t>
  </si>
  <si>
    <t>2307/35941</t>
  </si>
  <si>
    <t>1909/35941</t>
  </si>
  <si>
    <t>1974/35941</t>
  </si>
  <si>
    <t>665/34561</t>
  </si>
  <si>
    <t>649/34391</t>
  </si>
  <si>
    <t>719/34702</t>
  </si>
  <si>
    <t>704/34623</t>
  </si>
  <si>
    <t>621/34211</t>
  </si>
  <si>
    <t>689/34598</t>
  </si>
  <si>
    <t>630/34408</t>
  </si>
  <si>
    <t>131/6639</t>
  </si>
  <si>
    <t>132/6639</t>
  </si>
  <si>
    <t>124/6639</t>
  </si>
  <si>
    <t>148/6639</t>
  </si>
  <si>
    <t>268/6639</t>
  </si>
  <si>
    <t>126/6639</t>
  </si>
  <si>
    <t>118/6639</t>
  </si>
  <si>
    <t>128/6639</t>
  </si>
  <si>
    <t>427/7177</t>
  </si>
  <si>
    <t>682/7460</t>
  </si>
  <si>
    <t>623/7364</t>
  </si>
  <si>
    <t>481/7060</t>
  </si>
  <si>
    <t>573/7335</t>
  </si>
  <si>
    <t>625/7424</t>
  </si>
  <si>
    <t>449/7211</t>
  </si>
  <si>
    <t>5405/7177</t>
  </si>
  <si>
    <t>5381/7177</t>
  </si>
  <si>
    <t>75.0%</t>
  </si>
  <si>
    <t>5422/7460</t>
  </si>
  <si>
    <t>5405/7364</t>
  </si>
  <si>
    <t>73.4%</t>
  </si>
  <si>
    <t>5309/7060</t>
  </si>
  <si>
    <t>75.2%</t>
  </si>
  <si>
    <t>5423/7335</t>
  </si>
  <si>
    <t>73.9%</t>
  </si>
  <si>
    <t>5412/7424</t>
  </si>
  <si>
    <t>5407/7211</t>
  </si>
  <si>
    <t>5353/7177</t>
  </si>
  <si>
    <t>5405/6639</t>
  </si>
  <si>
    <t>5381/6639</t>
  </si>
  <si>
    <t>81.1%</t>
  </si>
  <si>
    <t>5422/6639</t>
  </si>
  <si>
    <t>5309/6639</t>
  </si>
  <si>
    <t>5423/6639</t>
  </si>
  <si>
    <t>5412/6639</t>
  </si>
  <si>
    <t>5407/6639</t>
  </si>
  <si>
    <t>5353/6639</t>
  </si>
  <si>
    <t>80.6%</t>
  </si>
  <si>
    <t>5405/6508</t>
  </si>
  <si>
    <t>83.1%</t>
  </si>
  <si>
    <t>5381/6507</t>
  </si>
  <si>
    <t>82.7%</t>
  </si>
  <si>
    <t>5422/6515</t>
  </si>
  <si>
    <t>5405/6491</t>
  </si>
  <si>
    <t>5309/6371</t>
  </si>
  <si>
    <t>5423/6513</t>
  </si>
  <si>
    <t>5412/6521</t>
  </si>
  <si>
    <t>5407/6511</t>
  </si>
  <si>
    <t>5353/6508</t>
  </si>
  <si>
    <t>82.3%</t>
  </si>
  <si>
    <t>1294/42216</t>
  </si>
  <si>
    <t>1384/42210</t>
  </si>
  <si>
    <t>1284/42241</t>
  </si>
  <si>
    <t>1282/42142</t>
  </si>
  <si>
    <t>1271/41648</t>
  </si>
  <si>
    <t>1279/42234</t>
  </si>
  <si>
    <t>1265/42247</t>
  </si>
  <si>
    <t>1279/42225</t>
  </si>
  <si>
    <t>1337/42216</t>
  </si>
  <si>
    <t>203/41003</t>
  </si>
  <si>
    <t>181/40702</t>
  </si>
  <si>
    <t>206/41399</t>
  </si>
  <si>
    <t>204/41288</t>
  </si>
  <si>
    <t>198/40777</t>
  </si>
  <si>
    <t>207/41394</t>
  </si>
  <si>
    <t>206/41068</t>
  </si>
  <si>
    <t>205/41029</t>
  </si>
  <si>
    <t>190/40721</t>
  </si>
  <si>
    <t>1599/35618</t>
  </si>
  <si>
    <t>1688/35613</t>
  </si>
  <si>
    <t>1612/35636</t>
  </si>
  <si>
    <t>1601/35562</t>
  </si>
  <si>
    <t>1554/35188</t>
  </si>
  <si>
    <t>1593/35630</t>
  </si>
  <si>
    <t>1603/35635</t>
  </si>
  <si>
    <t>1591/35623</t>
  </si>
  <si>
    <t>1651/35618</t>
  </si>
  <si>
    <t>221/34117</t>
  </si>
  <si>
    <t>210/33952</t>
  </si>
  <si>
    <t>221/34204</t>
  </si>
  <si>
    <t>221/34140</t>
  </si>
  <si>
    <t>218/33808</t>
  </si>
  <si>
    <t>221/34130</t>
  </si>
  <si>
    <t>193/33971</t>
  </si>
  <si>
    <t>Exonerate sequence retrieving – H99</t>
  </si>
  <si>
    <t>C3Q prediction (without filter)</t>
  </si>
  <si>
    <t>Filtered prediction (A+D+E+F)</t>
  </si>
  <si>
    <t>Filtered prediction (A+D+E+F) + Exonerate retrieving of deleted loci</t>
  </si>
  <si>
    <t>Filtered prediction (A+D+E+F) + Exonerate retrieving of deleted and non-predicted loci</t>
  </si>
  <si>
    <t>1787/43354</t>
  </si>
  <si>
    <t>1624/43354</t>
  </si>
  <si>
    <t>1000/41935</t>
  </si>
  <si>
    <t>1093/42192</t>
  </si>
  <si>
    <t>1789/36307</t>
  </si>
  <si>
    <t>594/34619</t>
  </si>
  <si>
    <t>651/34792</t>
  </si>
  <si>
    <t>148/6795</t>
  </si>
  <si>
    <t>103/6795</t>
  </si>
  <si>
    <t>410/7316</t>
  </si>
  <si>
    <t>445/7398</t>
  </si>
  <si>
    <t>5527/7316</t>
  </si>
  <si>
    <t>5556/7398</t>
  </si>
  <si>
    <t>5527/6795</t>
  </si>
  <si>
    <t>81.3%</t>
  </si>
  <si>
    <t>5556/6795</t>
  </si>
  <si>
    <t>5527/6647</t>
  </si>
  <si>
    <t>5556/6692</t>
  </si>
  <si>
    <t>83.0%</t>
  </si>
  <si>
    <t>1354/42921</t>
  </si>
  <si>
    <t>1361/43091</t>
  </si>
  <si>
    <t>215/41150</t>
  </si>
  <si>
    <t>227/41326</t>
  </si>
  <si>
    <t>1626/36028</t>
  </si>
  <si>
    <t>1634/36152</t>
  </si>
  <si>
    <t>219/34244</t>
  </si>
  <si>
    <t>230/34371</t>
  </si>
  <si>
    <t>Exonerate sequence retrieving – JEC21</t>
  </si>
  <si>
    <t>1822/42672</t>
  </si>
  <si>
    <t>1571/42672</t>
  </si>
  <si>
    <t>1062/41605</t>
  </si>
  <si>
    <t>1181/41974</t>
  </si>
  <si>
    <t>2003/35941</t>
  </si>
  <si>
    <t>1821/35941</t>
  </si>
  <si>
    <t>654/34409</t>
  </si>
  <si>
    <t>724/34657</t>
  </si>
  <si>
    <t>123/6639</t>
  </si>
  <si>
    <t>56/6639</t>
  </si>
  <si>
    <t>486/7314</t>
  </si>
  <si>
    <t>5425/7314</t>
  </si>
  <si>
    <t>5425/6639</t>
  </si>
  <si>
    <t>5388/6516</t>
  </si>
  <si>
    <t>5425/6583</t>
  </si>
  <si>
    <t>82.4%</t>
  </si>
  <si>
    <t>1390/42240</t>
  </si>
  <si>
    <t>1429/42530</t>
  </si>
  <si>
    <t>181/40724</t>
  </si>
  <si>
    <t>189/40982</t>
  </si>
  <si>
    <t>1695/35633</t>
  </si>
  <si>
    <t>1735/35855</t>
  </si>
  <si>
    <t>210/33965</t>
  </si>
  <si>
    <t>221/34154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</si>
</sst>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>
    <font>
      <sz val="10"/>
      <name val="Arial"/>
      <family val="2"/>
      <charset val="1"/>
    </font>
    <font>
      <b/>
      <sz val="10"/>
      <name val="Ubuntu"/>
      <charset val="1"/>
    </font>
    <font>
      <sz val="10"/>
      <name val="Ubuntu"/>
      <charset val="1"/>
    </font>
    <font>
      <b/>
      <sz val="10"/>
      <color indexed="8"/>
      <name val="Ubuntu"/>
      <charset val="1"/>
    </font>
    <font>
      <sz val="10"/>
      <color indexed="8"/>
      <name val="Ubuntu"/>
      <charset val="1"/>
    </font>
    <font>
      <b/>
      <sz val="10"/>
      <name val="Arial"/>
      <family val="2"/>
      <charset val="1"/>
    </font>
    <font>
      <b/>
      <sz val="10"/>
      <color indexed="10"/>
      <name val="Arial"/>
      <family val="2"/>
      <charset val="1"/>
    </font>
    <font>
      <sz val="10"/>
      <color indexed="10"/>
      <name val="Arial"/>
      <family val="2"/>
      <charset val="1"/>
    </font>
    <font>
      <b/>
      <sz val="10"/>
      <color indexed="10"/>
      <name val="Ubuntu"/>
      <charset val="1"/>
    </font>
    <font>
      <sz val="10"/>
      <color indexed="10"/>
      <name val="Ubuntu"/>
      <charset val="1"/>
    </font>
    <font>
      <b/>
      <sz val="10"/>
      <color indexed="60"/>
      <name val="Ubuntu"/>
      <charset val="1"/>
    </font>
    <font>
      <sz val="10"/>
      <color indexed="60"/>
      <name val="Ubuntu"/>
      <charset val="1"/>
    </font>
    <font>
      <sz val="10"/>
      <color indexed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31"/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left"/>
    </xf>
    <xf numFmtId="164" fontId="2" fillId="0" borderId="0" xfId="0" applyNumberFormat="1" applyFont="1"/>
    <xf numFmtId="10" fontId="2" fillId="0" borderId="0" xfId="0" applyNumberFormat="1" applyFont="1" applyAlignment="1">
      <alignment horizontal="left"/>
    </xf>
    <xf numFmtId="0" fontId="1" fillId="3" borderId="0" xfId="0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0" fontId="0" fillId="0" borderId="0" xfId="0" applyNumberFormat="1" applyFont="1" applyAlignment="1">
      <alignment horizontal="left"/>
    </xf>
    <xf numFmtId="10" fontId="7" fillId="0" borderId="0" xfId="0" applyNumberFormat="1" applyFont="1" applyAlignment="1">
      <alignment horizontal="left"/>
    </xf>
    <xf numFmtId="0" fontId="2" fillId="0" borderId="0" xfId="0" applyFont="1" applyAlignment="1"/>
    <xf numFmtId="0" fontId="9" fillId="0" borderId="0" xfId="0" applyFont="1" applyAlignment="1">
      <alignment horizontal="left"/>
    </xf>
    <xf numFmtId="10" fontId="9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10" fontId="4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1" fillId="0" borderId="0" xfId="0" applyNumberFormat="1" applyFont="1" applyAlignment="1">
      <alignment horizontal="left"/>
    </xf>
    <xf numFmtId="10" fontId="11" fillId="0" borderId="0" xfId="0" applyNumberFormat="1" applyFont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D1C24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E18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3.2"/>
  <cols>
    <col min="1" max="1" width="49.33203125" style="1" customWidth="1"/>
    <col min="2" max="2" width="9.77734375" style="2" customWidth="1"/>
    <col min="3" max="3" width="6.6640625" style="2" customWidth="1"/>
    <col min="4" max="4" width="9.77734375" style="2" customWidth="1"/>
    <col min="5" max="5" width="6.6640625" style="2" customWidth="1"/>
    <col min="6" max="6" width="9.77734375" style="2" customWidth="1"/>
    <col min="7" max="7" width="6.6640625" style="2" customWidth="1"/>
    <col min="8" max="256" width="9.77734375" style="2" customWidth="1"/>
    <col min="257" max="16384" width="11.5546875" style="2"/>
  </cols>
  <sheetData>
    <row r="1" spans="1:38">
      <c r="A1" s="3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</row>
    <row r="3" spans="1:38" s="8" customFormat="1">
      <c r="A3" s="5"/>
      <c r="B3" s="40" t="s">
        <v>1</v>
      </c>
      <c r="C3" s="40"/>
      <c r="D3" s="40" t="s">
        <v>2</v>
      </c>
      <c r="E3" s="40"/>
      <c r="F3" s="40" t="s">
        <v>3</v>
      </c>
      <c r="G3" s="40"/>
      <c r="H3" s="6"/>
      <c r="I3" s="7"/>
      <c r="J3" s="7"/>
      <c r="K3" s="7"/>
      <c r="L3" s="7"/>
      <c r="M3" s="7"/>
      <c r="N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38">
      <c r="A4" s="1" t="s">
        <v>4</v>
      </c>
      <c r="B4" s="2">
        <v>7219</v>
      </c>
      <c r="D4" s="2">
        <v>6695</v>
      </c>
      <c r="F4" s="2">
        <v>7064</v>
      </c>
      <c r="H4" s="4"/>
      <c r="I4" s="4"/>
      <c r="J4" s="4"/>
      <c r="K4" s="4"/>
      <c r="L4" s="4"/>
      <c r="M4" s="4"/>
      <c r="N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</row>
    <row r="5" spans="1:38">
      <c r="A5" s="1" t="s">
        <v>5</v>
      </c>
      <c r="B5" s="2">
        <v>49129</v>
      </c>
      <c r="D5" s="2">
        <v>35309</v>
      </c>
      <c r="F5" s="2">
        <v>38921</v>
      </c>
      <c r="H5" s="4"/>
      <c r="I5" s="4"/>
      <c r="J5" s="4"/>
      <c r="K5" s="4"/>
      <c r="L5" s="4"/>
      <c r="M5" s="4"/>
      <c r="N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</row>
    <row r="6" spans="1:38">
      <c r="A6" s="1" t="s">
        <v>6</v>
      </c>
      <c r="B6" s="2">
        <v>41910</v>
      </c>
      <c r="D6" s="2">
        <v>28579</v>
      </c>
      <c r="F6" s="2">
        <v>31706</v>
      </c>
      <c r="H6" s="4"/>
      <c r="I6" s="4"/>
      <c r="J6" s="4"/>
      <c r="K6" s="4"/>
      <c r="L6" s="4"/>
      <c r="M6" s="4"/>
      <c r="N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>
      <c r="H7" s="4"/>
      <c r="I7" s="4"/>
      <c r="J7" s="4"/>
      <c r="K7" s="4"/>
      <c r="L7" s="4"/>
      <c r="M7" s="4"/>
      <c r="N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spans="1:38">
      <c r="A8" s="1" t="s">
        <v>7</v>
      </c>
      <c r="B8" s="2" t="s">
        <v>8</v>
      </c>
      <c r="C8" s="2" t="s">
        <v>9</v>
      </c>
      <c r="D8" s="2" t="s">
        <v>10</v>
      </c>
      <c r="E8" s="2" t="s">
        <v>11</v>
      </c>
      <c r="F8" s="2" t="s">
        <v>12</v>
      </c>
      <c r="G8" s="2" t="s">
        <v>13</v>
      </c>
      <c r="H8" s="4"/>
      <c r="I8" s="4"/>
      <c r="J8" s="4"/>
      <c r="K8" s="4"/>
      <c r="L8" s="4"/>
      <c r="M8" s="4"/>
      <c r="N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38">
      <c r="A9" s="1" t="s">
        <v>14</v>
      </c>
      <c r="B9" s="2" t="s">
        <v>15</v>
      </c>
      <c r="C9" s="2" t="s">
        <v>16</v>
      </c>
      <c r="D9" s="2" t="s">
        <v>17</v>
      </c>
      <c r="E9" s="2" t="s">
        <v>18</v>
      </c>
      <c r="F9" s="2" t="s">
        <v>19</v>
      </c>
      <c r="G9" s="2" t="s">
        <v>20</v>
      </c>
      <c r="H9" s="4"/>
      <c r="I9" s="4"/>
      <c r="J9" s="4"/>
      <c r="K9" s="4"/>
      <c r="L9" s="4"/>
      <c r="M9" s="4"/>
      <c r="N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>
      <c r="A10" s="1" t="s">
        <v>21</v>
      </c>
      <c r="B10" s="2" t="s">
        <v>22</v>
      </c>
      <c r="C10" s="2" t="s">
        <v>23</v>
      </c>
      <c r="D10" s="2" t="s">
        <v>24</v>
      </c>
      <c r="E10" s="2" t="s">
        <v>25</v>
      </c>
      <c r="F10" s="2" t="s">
        <v>26</v>
      </c>
      <c r="G10" s="2" t="s">
        <v>27</v>
      </c>
      <c r="H10" s="4"/>
      <c r="I10" s="4"/>
      <c r="J10" s="4"/>
      <c r="K10" s="4"/>
      <c r="L10" s="4"/>
      <c r="M10" s="4"/>
      <c r="N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</row>
    <row r="11" spans="1:38">
      <c r="A11" s="1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32</v>
      </c>
      <c r="H11" s="4"/>
      <c r="I11" s="4"/>
      <c r="J11" s="4"/>
      <c r="K11" s="4"/>
      <c r="L11" s="4"/>
      <c r="M11" s="4"/>
      <c r="N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</row>
    <row r="12" spans="1:38">
      <c r="A12" s="1" t="s">
        <v>34</v>
      </c>
      <c r="B12" s="2" t="s">
        <v>35</v>
      </c>
      <c r="C12" s="2" t="s">
        <v>32</v>
      </c>
      <c r="D12" s="2" t="s">
        <v>36</v>
      </c>
      <c r="E12" s="2" t="s">
        <v>37</v>
      </c>
      <c r="F12" s="2" t="s">
        <v>38</v>
      </c>
      <c r="G12" s="2" t="s">
        <v>39</v>
      </c>
      <c r="H12" s="4"/>
      <c r="I12" s="4"/>
      <c r="J12" s="4"/>
      <c r="K12" s="4"/>
      <c r="L12" s="4"/>
      <c r="M12" s="4"/>
      <c r="N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</row>
    <row r="13" spans="1:38">
      <c r="A13" s="1" t="s">
        <v>40</v>
      </c>
      <c r="B13" s="2" t="s">
        <v>41</v>
      </c>
      <c r="C13" s="2" t="s">
        <v>42</v>
      </c>
      <c r="D13" s="2" t="s">
        <v>43</v>
      </c>
      <c r="E13" s="2" t="s">
        <v>44</v>
      </c>
      <c r="F13" s="2" t="s">
        <v>45</v>
      </c>
      <c r="G13" s="2" t="s">
        <v>46</v>
      </c>
      <c r="H13" s="4"/>
      <c r="I13" s="4"/>
      <c r="J13" s="4"/>
      <c r="K13" s="4"/>
      <c r="L13" s="4"/>
      <c r="M13" s="4"/>
      <c r="N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</row>
    <row r="14" spans="1:38">
      <c r="H14" s="4"/>
      <c r="I14" s="4"/>
      <c r="J14" s="4"/>
      <c r="K14" s="4"/>
      <c r="L14" s="4"/>
      <c r="M14" s="4"/>
      <c r="N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</row>
    <row r="15" spans="1:38">
      <c r="A15" s="1" t="s">
        <v>47</v>
      </c>
      <c r="B15" s="2">
        <v>4427</v>
      </c>
      <c r="D15" s="2">
        <v>3524</v>
      </c>
      <c r="F15" s="2">
        <v>4516</v>
      </c>
      <c r="H15" s="4"/>
      <c r="I15" s="4"/>
      <c r="J15" s="4"/>
      <c r="K15" s="4"/>
      <c r="L15" s="4"/>
      <c r="M15" s="4"/>
      <c r="N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</row>
    <row r="16" spans="1:38">
      <c r="A16" s="1" t="s">
        <v>48</v>
      </c>
      <c r="B16" s="4" t="s">
        <v>49</v>
      </c>
      <c r="C16" s="9" t="s">
        <v>50</v>
      </c>
      <c r="D16" s="4" t="s">
        <v>51</v>
      </c>
      <c r="E16" s="9" t="s">
        <v>52</v>
      </c>
      <c r="F16" s="4" t="s">
        <v>53</v>
      </c>
      <c r="G16" s="9" t="s">
        <v>54</v>
      </c>
      <c r="H16" s="4"/>
      <c r="I16" s="4"/>
      <c r="J16" s="4"/>
      <c r="K16" s="4"/>
      <c r="L16" s="4"/>
      <c r="M16" s="4"/>
      <c r="N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</row>
    <row r="17" spans="1:38">
      <c r="A17" s="1" t="s">
        <v>55</v>
      </c>
      <c r="B17" s="2" t="s">
        <v>56</v>
      </c>
      <c r="C17" s="2" t="s">
        <v>57</v>
      </c>
      <c r="D17" s="2" t="s">
        <v>58</v>
      </c>
      <c r="E17" s="4" t="s">
        <v>59</v>
      </c>
      <c r="F17" s="2" t="s">
        <v>60</v>
      </c>
      <c r="G17" s="2" t="s">
        <v>61</v>
      </c>
      <c r="H17" s="4"/>
      <c r="I17" s="4"/>
      <c r="J17" s="4"/>
      <c r="K17" s="4"/>
      <c r="L17" s="4"/>
      <c r="M17" s="4"/>
      <c r="N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</row>
    <row r="18" spans="1:38">
      <c r="A18" s="1" t="s">
        <v>62</v>
      </c>
      <c r="B18" s="2" t="s">
        <v>63</v>
      </c>
      <c r="C18" s="10" t="s">
        <v>64</v>
      </c>
      <c r="D18" s="2" t="s">
        <v>65</v>
      </c>
      <c r="E18" s="2" t="s">
        <v>66</v>
      </c>
      <c r="F18" s="2" t="s">
        <v>67</v>
      </c>
      <c r="G18" s="2" t="s">
        <v>68</v>
      </c>
      <c r="H18" s="4"/>
      <c r="I18" s="4"/>
      <c r="J18" s="4"/>
      <c r="K18" s="4"/>
      <c r="L18" s="4"/>
      <c r="M18" s="4"/>
      <c r="N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</row>
    <row r="19" spans="1:38">
      <c r="H19" s="4"/>
      <c r="I19" s="4"/>
      <c r="J19" s="4"/>
      <c r="K19" s="4"/>
      <c r="L19" s="4"/>
      <c r="M19" s="4"/>
      <c r="N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</row>
    <row r="20" spans="1:38">
      <c r="B20" s="4"/>
      <c r="H20" s="4"/>
      <c r="I20" s="4"/>
      <c r="J20" s="4"/>
      <c r="K20" s="4"/>
      <c r="L20" s="4"/>
      <c r="M20" s="4"/>
      <c r="N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</row>
    <row r="21" spans="1:38">
      <c r="A21" s="1" t="s">
        <v>69</v>
      </c>
      <c r="H21" s="4"/>
      <c r="I21" s="4"/>
      <c r="J21" s="4"/>
      <c r="K21" s="4"/>
      <c r="L21" s="4"/>
      <c r="M21" s="4"/>
      <c r="N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</row>
    <row r="22" spans="1:38">
      <c r="H22" s="4"/>
      <c r="I22" s="4"/>
      <c r="J22" s="4"/>
      <c r="K22" s="4"/>
      <c r="L22" s="4"/>
      <c r="M22" s="4"/>
      <c r="N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</row>
    <row r="23" spans="1:38">
      <c r="A23" s="1" t="s">
        <v>70</v>
      </c>
      <c r="B23" s="2">
        <v>6597</v>
      </c>
      <c r="D23" s="2">
        <v>6396</v>
      </c>
      <c r="F23" s="2">
        <v>6713</v>
      </c>
      <c r="H23" s="4"/>
      <c r="I23" s="4"/>
      <c r="J23" s="4"/>
      <c r="K23" s="4"/>
      <c r="L23" s="4"/>
      <c r="M23" s="4"/>
      <c r="N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</row>
    <row r="24" spans="1:38">
      <c r="A24" s="1" t="s">
        <v>71</v>
      </c>
      <c r="B24" s="2">
        <v>6704</v>
      </c>
      <c r="D24" s="2">
        <v>6012</v>
      </c>
      <c r="F24" s="2">
        <v>6348</v>
      </c>
      <c r="H24" s="4"/>
      <c r="I24" s="4"/>
      <c r="J24" s="4"/>
      <c r="K24" s="4"/>
      <c r="L24" s="4"/>
      <c r="M24" s="4"/>
      <c r="N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</row>
    <row r="25" spans="1:38">
      <c r="A25" s="1" t="s">
        <v>72</v>
      </c>
      <c r="B25" s="2">
        <v>46871</v>
      </c>
      <c r="D25" s="2">
        <v>34813</v>
      </c>
      <c r="F25" s="2">
        <v>38292</v>
      </c>
      <c r="H25" s="4"/>
      <c r="I25" s="4"/>
      <c r="J25" s="4"/>
      <c r="K25" s="4"/>
      <c r="L25" s="4"/>
      <c r="M25" s="4"/>
      <c r="N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</row>
    <row r="26" spans="1:38">
      <c r="A26" s="1" t="s">
        <v>73</v>
      </c>
      <c r="B26" s="2">
        <v>40274</v>
      </c>
      <c r="D26" s="2">
        <v>28382</v>
      </c>
      <c r="F26" s="2">
        <v>31431</v>
      </c>
      <c r="H26" s="4"/>
      <c r="I26" s="4"/>
      <c r="J26" s="4"/>
      <c r="K26" s="4"/>
      <c r="L26" s="4"/>
      <c r="M26" s="4"/>
      <c r="N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</row>
    <row r="27" spans="1:38">
      <c r="A27" s="1" t="s">
        <v>74</v>
      </c>
      <c r="B27" s="2">
        <v>43121</v>
      </c>
      <c r="D27" s="2">
        <v>34813</v>
      </c>
      <c r="F27" s="2">
        <v>41422</v>
      </c>
      <c r="H27" s="4"/>
      <c r="I27" s="4"/>
      <c r="J27" s="4"/>
      <c r="K27" s="4"/>
      <c r="L27" s="4"/>
      <c r="M27" s="4"/>
      <c r="N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</row>
    <row r="28" spans="1:38">
      <c r="A28" s="1" t="s">
        <v>75</v>
      </c>
      <c r="B28" s="2">
        <v>36167</v>
      </c>
      <c r="D28" s="2">
        <v>33387</v>
      </c>
      <c r="F28" s="2">
        <v>34861</v>
      </c>
      <c r="H28" s="4"/>
      <c r="I28" s="4"/>
      <c r="J28" s="4"/>
      <c r="K28" s="4"/>
      <c r="L28" s="4"/>
      <c r="M28" s="4"/>
      <c r="N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</row>
    <row r="29" spans="1:38">
      <c r="H29" s="4"/>
      <c r="I29" s="4"/>
      <c r="J29" s="4"/>
      <c r="K29" s="4"/>
      <c r="L29" s="4"/>
      <c r="M29" s="4"/>
      <c r="N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</row>
    <row r="30" spans="1:38">
      <c r="A30" s="1" t="s">
        <v>7</v>
      </c>
      <c r="B30" s="2" t="s">
        <v>76</v>
      </c>
      <c r="C30" s="2" t="s">
        <v>77</v>
      </c>
      <c r="D30" s="2" t="s">
        <v>78</v>
      </c>
      <c r="E30" s="2" t="s">
        <v>16</v>
      </c>
      <c r="F30" s="2" t="s">
        <v>79</v>
      </c>
      <c r="G30" s="2" t="s">
        <v>80</v>
      </c>
      <c r="H30" s="4"/>
      <c r="I30" s="4"/>
      <c r="J30" s="4"/>
      <c r="K30" s="4"/>
      <c r="L30" s="4"/>
      <c r="M30" s="4"/>
      <c r="N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</row>
    <row r="31" spans="1:38">
      <c r="A31" s="1" t="s">
        <v>14</v>
      </c>
      <c r="B31" s="2" t="s">
        <v>81</v>
      </c>
      <c r="C31" s="2" t="s">
        <v>82</v>
      </c>
      <c r="D31" s="2" t="s">
        <v>83</v>
      </c>
      <c r="E31" s="2" t="s">
        <v>84</v>
      </c>
      <c r="F31" s="2" t="s">
        <v>85</v>
      </c>
      <c r="G31" s="2" t="s">
        <v>77</v>
      </c>
      <c r="H31" s="4"/>
      <c r="I31" s="4"/>
      <c r="J31" s="4"/>
      <c r="K31" s="4"/>
      <c r="L31" s="4"/>
      <c r="M31" s="4"/>
      <c r="N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</row>
    <row r="32" spans="1:38">
      <c r="A32" s="1" t="s">
        <v>21</v>
      </c>
      <c r="B32" s="2" t="s">
        <v>86</v>
      </c>
      <c r="C32" s="2" t="s">
        <v>77</v>
      </c>
      <c r="D32" s="2" t="s">
        <v>87</v>
      </c>
      <c r="E32" s="2" t="s">
        <v>88</v>
      </c>
      <c r="F32" s="2" t="s">
        <v>89</v>
      </c>
      <c r="G32" s="2" t="s">
        <v>90</v>
      </c>
      <c r="H32" s="4"/>
      <c r="I32" s="4"/>
      <c r="J32" s="4"/>
      <c r="K32" s="4"/>
      <c r="L32" s="4"/>
      <c r="M32" s="4"/>
      <c r="N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</row>
    <row r="33" spans="1:38">
      <c r="A33" s="1" t="s">
        <v>28</v>
      </c>
      <c r="B33" s="2" t="s">
        <v>91</v>
      </c>
      <c r="C33" s="2" t="s">
        <v>92</v>
      </c>
      <c r="D33" s="2" t="s">
        <v>93</v>
      </c>
      <c r="E33" s="2" t="s">
        <v>94</v>
      </c>
      <c r="F33" s="2" t="s">
        <v>95</v>
      </c>
      <c r="G33" s="2" t="s">
        <v>77</v>
      </c>
      <c r="H33" s="4"/>
      <c r="I33" s="4"/>
      <c r="J33" s="4"/>
      <c r="K33" s="4"/>
      <c r="L33" s="4"/>
      <c r="M33" s="4"/>
      <c r="N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</row>
  </sheetData>
  <sheetProtection selectLockedCells="1" selectUnlockedCells="1"/>
  <mergeCells count="3">
    <mergeCell ref="B3:C3"/>
    <mergeCell ref="D3:E3"/>
    <mergeCell ref="F3:G3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3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IV4"/>
    </sheetView>
  </sheetViews>
  <sheetFormatPr baseColWidth="10" defaultRowHeight="13.2"/>
  <cols>
    <col min="1" max="1" width="49.33203125" style="15" customWidth="1"/>
    <col min="2" max="2" width="9.77734375" style="4" customWidth="1"/>
    <col min="3" max="3" width="7.6640625" style="4" customWidth="1"/>
    <col min="4" max="4" width="9.77734375" style="4" customWidth="1"/>
    <col min="5" max="5" width="7.6640625" style="4" customWidth="1"/>
    <col min="6" max="6" width="9.77734375" style="4" customWidth="1"/>
    <col min="7" max="7" width="7.6640625" style="4" customWidth="1"/>
    <col min="8" max="8" width="9.77734375" style="4" customWidth="1"/>
    <col min="9" max="9" width="7.6640625" style="4" customWidth="1"/>
    <col min="10" max="10" width="9.77734375" style="4" customWidth="1"/>
    <col min="11" max="11" width="7.6640625" style="4" customWidth="1"/>
    <col min="12" max="12" width="9.77734375" style="4" customWidth="1"/>
    <col min="13" max="13" width="7.6640625" style="4" customWidth="1"/>
    <col min="14" max="14" width="9.77734375" style="4" customWidth="1"/>
    <col min="15" max="15" width="7.6640625" style="4" customWidth="1"/>
    <col min="16" max="16" width="9.77734375" style="4" customWidth="1"/>
    <col min="17" max="17" width="7.6640625" style="4" customWidth="1"/>
    <col min="18" max="18" width="9.77734375" style="4" customWidth="1"/>
    <col min="19" max="19" width="7.6640625" style="4" customWidth="1"/>
    <col min="20" max="20" width="9.77734375" style="4" customWidth="1"/>
    <col min="21" max="21" width="7.6640625" style="4" customWidth="1"/>
    <col min="22" max="22" width="11.33203125" style="4" customWidth="1"/>
    <col min="23" max="23" width="7.6640625" style="4" customWidth="1"/>
    <col min="24" max="24" width="11.33203125" style="4" customWidth="1"/>
    <col min="25" max="25" width="7.6640625" style="4" customWidth="1"/>
    <col min="26" max="26" width="11.33203125" style="4" customWidth="1"/>
    <col min="27" max="27" width="7.6640625" style="4" customWidth="1"/>
    <col min="28" max="28" width="11.33203125" style="4" customWidth="1"/>
    <col min="29" max="29" width="7.6640625" style="4" customWidth="1"/>
    <col min="30" max="30" width="11.33203125" style="4" customWidth="1"/>
    <col min="31" max="31" width="7.6640625" style="4" customWidth="1"/>
    <col min="32" max="32" width="11.33203125" style="4" customWidth="1"/>
    <col min="33" max="33" width="7.6640625" style="4" customWidth="1"/>
    <col min="34" max="34" width="11.33203125" style="4" customWidth="1"/>
    <col min="35" max="35" width="7.6640625" style="4" customWidth="1"/>
    <col min="36" max="36" width="11.33203125" style="4" customWidth="1"/>
    <col min="37" max="37" width="7.6640625" style="4" customWidth="1"/>
    <col min="38" max="38" width="11.33203125" style="4" customWidth="1"/>
    <col min="39" max="39" width="7.6640625" style="4" customWidth="1"/>
    <col min="40" max="40" width="11.33203125" style="4" customWidth="1"/>
    <col min="41" max="41" width="7.6640625" style="4" customWidth="1"/>
    <col min="42" max="42" width="11.33203125" style="4" customWidth="1"/>
    <col min="43" max="43" width="7.6640625" style="4" customWidth="1"/>
    <col min="44" max="44" width="11.33203125" style="4" customWidth="1"/>
    <col min="45" max="45" width="7.6640625" style="4" customWidth="1"/>
    <col min="46" max="46" width="11.33203125" style="4" customWidth="1"/>
    <col min="47" max="47" width="7.6640625" style="4" customWidth="1"/>
    <col min="48" max="48" width="11.33203125" style="4" customWidth="1"/>
    <col min="49" max="49" width="7.6640625" style="4" customWidth="1"/>
    <col min="50" max="50" width="11.33203125" style="4" customWidth="1"/>
    <col min="51" max="51" width="7.6640625" style="4" customWidth="1"/>
    <col min="52" max="52" width="11.33203125" style="4" customWidth="1"/>
    <col min="53" max="53" width="7.6640625" style="4" customWidth="1"/>
    <col min="54" max="256" width="9.77734375" style="4" customWidth="1"/>
    <col min="257" max="16384" width="11.5546875" style="4"/>
  </cols>
  <sheetData>
    <row r="1" spans="1:53">
      <c r="A1" s="42" t="s">
        <v>1245</v>
      </c>
      <c r="B1" s="42"/>
      <c r="C1" s="42"/>
      <c r="D1" s="42"/>
      <c r="E1" s="42"/>
    </row>
    <row r="2" spans="1:53">
      <c r="A2" s="1"/>
    </row>
    <row r="3" spans="1:53" s="6" customFormat="1">
      <c r="B3" s="41" t="s">
        <v>1246</v>
      </c>
      <c r="C3" s="41"/>
      <c r="D3" s="41" t="s">
        <v>1247</v>
      </c>
      <c r="E3" s="41"/>
      <c r="F3" s="41" t="s">
        <v>1248</v>
      </c>
      <c r="G3" s="41"/>
      <c r="H3" s="41" t="s">
        <v>1249</v>
      </c>
      <c r="I3" s="41"/>
      <c r="J3" s="41" t="s">
        <v>1250</v>
      </c>
      <c r="K3" s="41"/>
      <c r="L3" s="41" t="s">
        <v>1251</v>
      </c>
      <c r="M3" s="41"/>
      <c r="N3" s="41" t="s">
        <v>1252</v>
      </c>
      <c r="O3" s="41"/>
      <c r="P3" s="41" t="s">
        <v>1253</v>
      </c>
      <c r="Q3" s="41"/>
      <c r="R3" s="41" t="s">
        <v>1254</v>
      </c>
      <c r="S3" s="41"/>
      <c r="T3" s="41" t="s">
        <v>1255</v>
      </c>
      <c r="U3" s="41"/>
      <c r="V3" s="45" t="s">
        <v>1256</v>
      </c>
      <c r="W3" s="45"/>
      <c r="X3" s="45" t="s">
        <v>1257</v>
      </c>
      <c r="Y3" s="45"/>
      <c r="Z3" s="45" t="s">
        <v>1258</v>
      </c>
      <c r="AA3" s="45"/>
      <c r="AB3" s="45" t="s">
        <v>1259</v>
      </c>
      <c r="AC3" s="45"/>
      <c r="AD3" s="45" t="s">
        <v>1260</v>
      </c>
      <c r="AE3" s="45"/>
      <c r="AF3" s="45" t="s">
        <v>1261</v>
      </c>
      <c r="AG3" s="45"/>
      <c r="AH3" s="45" t="s">
        <v>1262</v>
      </c>
      <c r="AI3" s="45"/>
      <c r="AJ3" s="45" t="s">
        <v>1263</v>
      </c>
      <c r="AK3" s="45"/>
      <c r="AL3" s="45" t="s">
        <v>1264</v>
      </c>
      <c r="AM3" s="45"/>
      <c r="AN3" s="45" t="s">
        <v>1265</v>
      </c>
      <c r="AO3" s="45"/>
      <c r="AP3" s="45" t="s">
        <v>1266</v>
      </c>
      <c r="AQ3" s="45"/>
      <c r="AR3" s="45" t="s">
        <v>1267</v>
      </c>
      <c r="AS3" s="45"/>
      <c r="AT3" s="45" t="s">
        <v>1268</v>
      </c>
      <c r="AU3" s="45"/>
      <c r="AV3" s="45" t="s">
        <v>1269</v>
      </c>
      <c r="AW3" s="45"/>
      <c r="AX3" s="45" t="s">
        <v>1270</v>
      </c>
      <c r="AY3" s="45"/>
      <c r="AZ3" s="45" t="s">
        <v>1271</v>
      </c>
      <c r="BA3" s="45"/>
    </row>
    <row r="4" spans="1:53">
      <c r="A4" s="15" t="s">
        <v>4</v>
      </c>
      <c r="B4" s="2">
        <v>7245</v>
      </c>
      <c r="C4" s="2"/>
      <c r="D4" s="2">
        <v>7269</v>
      </c>
      <c r="E4" s="2"/>
      <c r="F4" s="2">
        <v>7257</v>
      </c>
      <c r="G4" s="2"/>
      <c r="H4" s="2">
        <v>7248</v>
      </c>
      <c r="I4" s="2"/>
      <c r="J4" s="2">
        <v>7224</v>
      </c>
      <c r="K4" s="2"/>
      <c r="L4" s="2">
        <v>7188</v>
      </c>
      <c r="M4" s="2"/>
      <c r="N4" s="2">
        <v>7170</v>
      </c>
      <c r="O4" s="2"/>
      <c r="P4" s="2">
        <v>7208</v>
      </c>
      <c r="Q4" s="2"/>
      <c r="R4" s="2">
        <v>7175</v>
      </c>
      <c r="S4" s="2"/>
      <c r="T4" s="2">
        <v>7196</v>
      </c>
      <c r="U4" s="2"/>
      <c r="V4" s="19">
        <v>7305</v>
      </c>
      <c r="W4" s="19"/>
      <c r="X4" s="19">
        <v>7285</v>
      </c>
      <c r="Y4" s="19"/>
      <c r="Z4" s="19">
        <v>7260</v>
      </c>
      <c r="AA4" s="19"/>
      <c r="AB4" s="19">
        <v>7284</v>
      </c>
      <c r="AC4" s="19"/>
      <c r="AD4" s="19">
        <v>7279</v>
      </c>
      <c r="AE4" s="19"/>
      <c r="AF4" s="19">
        <v>7294</v>
      </c>
      <c r="AG4" s="19"/>
      <c r="AH4" s="19">
        <v>7256</v>
      </c>
      <c r="AI4" s="19"/>
      <c r="AJ4" s="19">
        <v>7213</v>
      </c>
      <c r="AK4" s="19"/>
      <c r="AL4" s="19">
        <v>7232</v>
      </c>
      <c r="AM4" s="19"/>
      <c r="AN4" s="19">
        <v>7238</v>
      </c>
      <c r="AO4" s="19"/>
      <c r="AP4" s="19">
        <v>7311</v>
      </c>
      <c r="AQ4" s="19"/>
      <c r="AR4" s="19">
        <v>7288</v>
      </c>
      <c r="AS4" s="19"/>
      <c r="AT4" s="19">
        <v>7304</v>
      </c>
      <c r="AU4" s="19"/>
      <c r="AV4" s="19">
        <v>7297</v>
      </c>
      <c r="AW4" s="19"/>
      <c r="AX4" s="19">
        <v>7255</v>
      </c>
      <c r="AY4" s="19"/>
      <c r="AZ4" s="19">
        <v>7310</v>
      </c>
      <c r="BA4" s="19"/>
    </row>
    <row r="5" spans="1:53">
      <c r="A5" s="15" t="s">
        <v>5</v>
      </c>
      <c r="B5" s="2">
        <v>40700</v>
      </c>
      <c r="C5" s="2"/>
      <c r="D5" s="2">
        <v>40243</v>
      </c>
      <c r="E5" s="2"/>
      <c r="F5" s="2">
        <v>40646</v>
      </c>
      <c r="G5" s="2"/>
      <c r="H5" s="2">
        <v>40325</v>
      </c>
      <c r="I5" s="2"/>
      <c r="J5" s="2">
        <v>40433</v>
      </c>
      <c r="K5" s="2"/>
      <c r="L5" s="2">
        <v>40762</v>
      </c>
      <c r="M5" s="2"/>
      <c r="N5" s="2">
        <v>40403</v>
      </c>
      <c r="O5" s="2"/>
      <c r="P5" s="2">
        <v>40292</v>
      </c>
      <c r="Q5" s="2"/>
      <c r="R5" s="2">
        <v>40330</v>
      </c>
      <c r="S5" s="2"/>
      <c r="T5" s="2">
        <v>39777</v>
      </c>
      <c r="U5" s="2"/>
      <c r="V5" s="19">
        <v>40879</v>
      </c>
      <c r="W5" s="19"/>
      <c r="X5" s="19">
        <v>41069</v>
      </c>
      <c r="Y5" s="19"/>
      <c r="Z5" s="19">
        <v>40842</v>
      </c>
      <c r="AA5" s="19"/>
      <c r="AB5" s="19">
        <v>40780</v>
      </c>
      <c r="AC5" s="19"/>
      <c r="AD5" s="19">
        <v>40816</v>
      </c>
      <c r="AE5" s="19"/>
      <c r="AF5" s="19">
        <v>40488</v>
      </c>
      <c r="AG5" s="19"/>
      <c r="AH5" s="19">
        <v>40878</v>
      </c>
      <c r="AI5" s="19"/>
      <c r="AJ5" s="19">
        <v>40893</v>
      </c>
      <c r="AK5" s="19"/>
      <c r="AL5" s="19">
        <v>40549</v>
      </c>
      <c r="AM5" s="19"/>
      <c r="AN5" s="19">
        <v>40489</v>
      </c>
      <c r="AO5" s="19"/>
      <c r="AP5" s="19">
        <v>41177</v>
      </c>
      <c r="AQ5" s="19"/>
      <c r="AR5" s="19">
        <v>41185</v>
      </c>
      <c r="AS5" s="19"/>
      <c r="AT5" s="19">
        <v>41005</v>
      </c>
      <c r="AU5" s="19"/>
      <c r="AV5" s="19">
        <v>40942</v>
      </c>
      <c r="AW5" s="19"/>
      <c r="AX5" s="19">
        <v>40988</v>
      </c>
      <c r="AY5" s="19"/>
      <c r="AZ5" s="19">
        <v>41233</v>
      </c>
      <c r="BA5" s="19"/>
    </row>
    <row r="6" spans="1:53">
      <c r="A6" s="15" t="s">
        <v>6</v>
      </c>
      <c r="B6" s="2">
        <v>33208</v>
      </c>
      <c r="C6" s="2"/>
      <c r="D6" s="2">
        <v>32756</v>
      </c>
      <c r="E6" s="2"/>
      <c r="F6" s="2">
        <v>33150</v>
      </c>
      <c r="G6" s="2"/>
      <c r="H6" s="2">
        <v>32839</v>
      </c>
      <c r="I6" s="2"/>
      <c r="J6" s="2">
        <v>32973</v>
      </c>
      <c r="K6" s="2"/>
      <c r="L6" s="2">
        <v>33330</v>
      </c>
      <c r="M6" s="2"/>
      <c r="N6" s="2">
        <v>32980</v>
      </c>
      <c r="O6" s="2"/>
      <c r="P6" s="2">
        <v>32866</v>
      </c>
      <c r="Q6" s="2"/>
      <c r="R6" s="2">
        <v>32935</v>
      </c>
      <c r="S6" s="2"/>
      <c r="T6" s="2">
        <v>32384</v>
      </c>
      <c r="U6" s="2"/>
      <c r="V6" s="19">
        <v>33284</v>
      </c>
      <c r="W6" s="19"/>
      <c r="X6" s="19">
        <v>33484</v>
      </c>
      <c r="Y6" s="19"/>
      <c r="Z6" s="19">
        <v>33273</v>
      </c>
      <c r="AA6" s="19"/>
      <c r="AB6" s="19">
        <v>33222</v>
      </c>
      <c r="AC6" s="19"/>
      <c r="AD6" s="19">
        <v>33259</v>
      </c>
      <c r="AE6" s="19"/>
      <c r="AF6" s="19">
        <v>32934</v>
      </c>
      <c r="AG6" s="19"/>
      <c r="AH6" s="19">
        <v>33334</v>
      </c>
      <c r="AI6" s="19"/>
      <c r="AJ6" s="19">
        <v>33396</v>
      </c>
      <c r="AK6" s="19"/>
      <c r="AL6" s="19">
        <v>33035</v>
      </c>
      <c r="AM6" s="19"/>
      <c r="AN6" s="19">
        <v>32989</v>
      </c>
      <c r="AO6" s="19"/>
      <c r="AP6" s="19">
        <v>33536</v>
      </c>
      <c r="AQ6" s="19"/>
      <c r="AR6" s="19">
        <v>33560</v>
      </c>
      <c r="AS6" s="19"/>
      <c r="AT6" s="19">
        <v>33366</v>
      </c>
      <c r="AU6" s="19"/>
      <c r="AV6" s="19">
        <v>33347</v>
      </c>
      <c r="AW6" s="19"/>
      <c r="AX6" s="19">
        <v>33418</v>
      </c>
      <c r="AY6" s="19"/>
      <c r="AZ6" s="19">
        <v>33569</v>
      </c>
      <c r="BA6" s="19"/>
    </row>
    <row r="7" spans="1:53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</row>
    <row r="8" spans="1:53">
      <c r="A8" s="15" t="s">
        <v>7</v>
      </c>
      <c r="B8" s="2" t="s">
        <v>1272</v>
      </c>
      <c r="C8" s="2" t="s">
        <v>1273</v>
      </c>
      <c r="D8" s="2" t="s">
        <v>1274</v>
      </c>
      <c r="E8" s="2" t="s">
        <v>363</v>
      </c>
      <c r="F8" s="2" t="s">
        <v>1275</v>
      </c>
      <c r="G8" s="2" t="s">
        <v>1273</v>
      </c>
      <c r="H8" s="2" t="s">
        <v>1276</v>
      </c>
      <c r="I8" s="2" t="s">
        <v>415</v>
      </c>
      <c r="J8" s="2" t="s">
        <v>1277</v>
      </c>
      <c r="K8" s="2" t="s">
        <v>366</v>
      </c>
      <c r="L8" s="2" t="s">
        <v>1278</v>
      </c>
      <c r="M8" s="2" t="s">
        <v>151</v>
      </c>
      <c r="N8" s="2" t="s">
        <v>1279</v>
      </c>
      <c r="O8" s="2" t="s">
        <v>419</v>
      </c>
      <c r="P8" s="2" t="s">
        <v>1280</v>
      </c>
      <c r="Q8" s="2" t="s">
        <v>363</v>
      </c>
      <c r="R8" s="2" t="s">
        <v>1281</v>
      </c>
      <c r="S8" s="2" t="s">
        <v>415</v>
      </c>
      <c r="T8" s="2" t="s">
        <v>1282</v>
      </c>
      <c r="U8" s="2" t="s">
        <v>90</v>
      </c>
      <c r="V8" s="19" t="s">
        <v>1283</v>
      </c>
      <c r="W8" s="19" t="s">
        <v>897</v>
      </c>
      <c r="X8" s="19" t="s">
        <v>1284</v>
      </c>
      <c r="Y8" s="19" t="s">
        <v>127</v>
      </c>
      <c r="Z8" s="19" t="s">
        <v>1285</v>
      </c>
      <c r="AA8" s="19" t="s">
        <v>151</v>
      </c>
      <c r="AB8" s="19" t="s">
        <v>1286</v>
      </c>
      <c r="AC8" s="19" t="s">
        <v>151</v>
      </c>
      <c r="AD8" s="19" t="s">
        <v>1287</v>
      </c>
      <c r="AE8" s="19" t="s">
        <v>151</v>
      </c>
      <c r="AF8" s="19" t="s">
        <v>1288</v>
      </c>
      <c r="AG8" s="19" t="s">
        <v>366</v>
      </c>
      <c r="AH8" s="19" t="s">
        <v>1289</v>
      </c>
      <c r="AI8" s="19" t="s">
        <v>897</v>
      </c>
      <c r="AJ8" s="19" t="s">
        <v>1290</v>
      </c>
      <c r="AK8" s="19" t="s">
        <v>892</v>
      </c>
      <c r="AL8" s="19" t="s">
        <v>1291</v>
      </c>
      <c r="AM8" s="19" t="s">
        <v>958</v>
      </c>
      <c r="AN8" s="19" t="s">
        <v>1292</v>
      </c>
      <c r="AO8" s="19" t="s">
        <v>366</v>
      </c>
      <c r="AP8" s="19" t="s">
        <v>1293</v>
      </c>
      <c r="AQ8" s="19" t="s">
        <v>766</v>
      </c>
      <c r="AR8" s="19" t="s">
        <v>1099</v>
      </c>
      <c r="AS8" s="19" t="s">
        <v>766</v>
      </c>
      <c r="AT8" s="19" t="s">
        <v>1294</v>
      </c>
      <c r="AU8" s="19" t="s">
        <v>760</v>
      </c>
      <c r="AV8" s="19" t="s">
        <v>1295</v>
      </c>
      <c r="AW8" s="19" t="s">
        <v>760</v>
      </c>
      <c r="AX8" s="19" t="s">
        <v>1296</v>
      </c>
      <c r="AY8" s="19" t="s">
        <v>809</v>
      </c>
      <c r="AZ8" s="19" t="s">
        <v>1100</v>
      </c>
      <c r="BA8" s="19" t="s">
        <v>766</v>
      </c>
    </row>
    <row r="9" spans="1:53">
      <c r="A9" s="15" t="s">
        <v>14</v>
      </c>
      <c r="B9" s="2" t="s">
        <v>1297</v>
      </c>
      <c r="C9" s="2" t="s">
        <v>225</v>
      </c>
      <c r="D9" s="2" t="s">
        <v>1298</v>
      </c>
      <c r="E9" s="2" t="s">
        <v>105</v>
      </c>
      <c r="F9" s="2" t="s">
        <v>1299</v>
      </c>
      <c r="G9" s="2" t="s">
        <v>225</v>
      </c>
      <c r="H9" s="2" t="s">
        <v>1300</v>
      </c>
      <c r="I9" s="2" t="s">
        <v>209</v>
      </c>
      <c r="J9" s="2" t="s">
        <v>1301</v>
      </c>
      <c r="K9" s="2" t="s">
        <v>105</v>
      </c>
      <c r="L9" s="2" t="s">
        <v>1302</v>
      </c>
      <c r="M9" s="2" t="s">
        <v>105</v>
      </c>
      <c r="N9" s="2" t="s">
        <v>1303</v>
      </c>
      <c r="O9" s="2" t="s">
        <v>209</v>
      </c>
      <c r="P9" s="2" t="s">
        <v>1304</v>
      </c>
      <c r="Q9" s="2" t="s">
        <v>105</v>
      </c>
      <c r="R9" s="2" t="s">
        <v>1305</v>
      </c>
      <c r="S9" s="2" t="s">
        <v>209</v>
      </c>
      <c r="T9" s="2" t="s">
        <v>1306</v>
      </c>
      <c r="U9" s="2" t="s">
        <v>105</v>
      </c>
      <c r="V9" s="19" t="s">
        <v>1307</v>
      </c>
      <c r="W9" s="19" t="s">
        <v>225</v>
      </c>
      <c r="X9" s="19" t="s">
        <v>1308</v>
      </c>
      <c r="Y9" s="19" t="s">
        <v>225</v>
      </c>
      <c r="Z9" s="19" t="s">
        <v>1309</v>
      </c>
      <c r="AA9" s="19" t="s">
        <v>105</v>
      </c>
      <c r="AB9" s="19" t="s">
        <v>1310</v>
      </c>
      <c r="AC9" s="19" t="s">
        <v>225</v>
      </c>
      <c r="AD9" s="19" t="s">
        <v>1311</v>
      </c>
      <c r="AE9" s="19" t="s">
        <v>225</v>
      </c>
      <c r="AF9" s="19" t="s">
        <v>1312</v>
      </c>
      <c r="AG9" s="19" t="s">
        <v>105</v>
      </c>
      <c r="AH9" s="19" t="s">
        <v>1313</v>
      </c>
      <c r="AI9" s="19" t="s">
        <v>225</v>
      </c>
      <c r="AJ9" s="19" t="s">
        <v>1314</v>
      </c>
      <c r="AK9" s="19" t="s">
        <v>105</v>
      </c>
      <c r="AL9" s="19" t="s">
        <v>1315</v>
      </c>
      <c r="AM9" s="19" t="s">
        <v>105</v>
      </c>
      <c r="AN9" s="19" t="s">
        <v>1316</v>
      </c>
      <c r="AO9" s="19" t="s">
        <v>105</v>
      </c>
      <c r="AP9" s="19" t="s">
        <v>1317</v>
      </c>
      <c r="AQ9" s="19" t="s">
        <v>1106</v>
      </c>
      <c r="AR9" s="19" t="s">
        <v>1105</v>
      </c>
      <c r="AS9" s="19" t="s">
        <v>1106</v>
      </c>
      <c r="AT9" s="19" t="s">
        <v>1318</v>
      </c>
      <c r="AU9" s="19" t="s">
        <v>1106</v>
      </c>
      <c r="AV9" s="19" t="s">
        <v>1319</v>
      </c>
      <c r="AW9" s="19" t="s">
        <v>1106</v>
      </c>
      <c r="AX9" s="19" t="s">
        <v>1320</v>
      </c>
      <c r="AY9" s="19" t="s">
        <v>1321</v>
      </c>
      <c r="AZ9" s="19" t="s">
        <v>1107</v>
      </c>
      <c r="BA9" s="19" t="s">
        <v>1106</v>
      </c>
    </row>
    <row r="10" spans="1:53">
      <c r="A10" s="15" t="s">
        <v>21</v>
      </c>
      <c r="B10" s="2" t="s">
        <v>1322</v>
      </c>
      <c r="C10" s="2" t="s">
        <v>666</v>
      </c>
      <c r="D10" s="2" t="s">
        <v>1323</v>
      </c>
      <c r="E10" s="2" t="s">
        <v>195</v>
      </c>
      <c r="F10" s="2" t="s">
        <v>1324</v>
      </c>
      <c r="G10" s="2" t="s">
        <v>101</v>
      </c>
      <c r="H10" s="2" t="s">
        <v>1325</v>
      </c>
      <c r="I10" s="2" t="s">
        <v>198</v>
      </c>
      <c r="J10" s="2" t="s">
        <v>1326</v>
      </c>
      <c r="K10" s="2" t="s">
        <v>408</v>
      </c>
      <c r="L10" s="2" t="s">
        <v>1327</v>
      </c>
      <c r="M10" s="2" t="s">
        <v>412</v>
      </c>
      <c r="N10" s="2" t="s">
        <v>1328</v>
      </c>
      <c r="O10" s="2" t="s">
        <v>408</v>
      </c>
      <c r="P10" s="2" t="s">
        <v>1329</v>
      </c>
      <c r="Q10" s="2" t="s">
        <v>1330</v>
      </c>
      <c r="R10" s="2" t="s">
        <v>1331</v>
      </c>
      <c r="S10" s="2" t="s">
        <v>453</v>
      </c>
      <c r="T10" s="2" t="s">
        <v>1332</v>
      </c>
      <c r="U10" s="2" t="s">
        <v>111</v>
      </c>
      <c r="V10" s="19" t="s">
        <v>1333</v>
      </c>
      <c r="W10" s="19" t="s">
        <v>203</v>
      </c>
      <c r="X10" s="19" t="s">
        <v>1334</v>
      </c>
      <c r="Y10" s="19" t="s">
        <v>158</v>
      </c>
      <c r="Z10" s="19" t="s">
        <v>1335</v>
      </c>
      <c r="AA10" s="19" t="s">
        <v>203</v>
      </c>
      <c r="AB10" s="19" t="s">
        <v>1336</v>
      </c>
      <c r="AC10" s="19" t="s">
        <v>201</v>
      </c>
      <c r="AD10" s="19" t="s">
        <v>1337</v>
      </c>
      <c r="AE10" s="19" t="s">
        <v>201</v>
      </c>
      <c r="AF10" s="19" t="s">
        <v>1338</v>
      </c>
      <c r="AG10" s="19" t="s">
        <v>1339</v>
      </c>
      <c r="AH10" s="19" t="s">
        <v>1340</v>
      </c>
      <c r="AI10" s="19" t="s">
        <v>205</v>
      </c>
      <c r="AJ10" s="19" t="s">
        <v>1341</v>
      </c>
      <c r="AK10" s="19" t="s">
        <v>1095</v>
      </c>
      <c r="AL10" s="19" t="s">
        <v>1342</v>
      </c>
      <c r="AM10" s="19" t="s">
        <v>408</v>
      </c>
      <c r="AN10" s="19" t="s">
        <v>1343</v>
      </c>
      <c r="AO10" s="19" t="s">
        <v>408</v>
      </c>
      <c r="AP10" s="19" t="s">
        <v>1344</v>
      </c>
      <c r="AQ10" s="19" t="s">
        <v>1345</v>
      </c>
      <c r="AR10" s="19" t="s">
        <v>1112</v>
      </c>
      <c r="AS10" s="19" t="s">
        <v>1113</v>
      </c>
      <c r="AT10" s="19" t="s">
        <v>1346</v>
      </c>
      <c r="AU10" s="19" t="s">
        <v>1347</v>
      </c>
      <c r="AV10" s="19" t="s">
        <v>1348</v>
      </c>
      <c r="AW10" s="19" t="s">
        <v>1347</v>
      </c>
      <c r="AX10" s="19" t="s">
        <v>1349</v>
      </c>
      <c r="AY10" s="19" t="s">
        <v>1350</v>
      </c>
      <c r="AZ10" s="19" t="s">
        <v>1114</v>
      </c>
      <c r="BA10" s="19" t="s">
        <v>1113</v>
      </c>
    </row>
    <row r="11" spans="1:53">
      <c r="A11" s="15" t="s">
        <v>28</v>
      </c>
      <c r="B11" s="2" t="s">
        <v>1351</v>
      </c>
      <c r="C11" s="2" t="s">
        <v>268</v>
      </c>
      <c r="D11" s="2" t="s">
        <v>1352</v>
      </c>
      <c r="E11" s="2" t="s">
        <v>32</v>
      </c>
      <c r="F11" s="2" t="s">
        <v>1353</v>
      </c>
      <c r="G11" s="2" t="s">
        <v>263</v>
      </c>
      <c r="H11" s="2" t="s">
        <v>1354</v>
      </c>
      <c r="I11" s="2" t="s">
        <v>32</v>
      </c>
      <c r="J11" s="2" t="s">
        <v>1355</v>
      </c>
      <c r="K11" s="2" t="s">
        <v>32</v>
      </c>
      <c r="L11" s="2" t="s">
        <v>1356</v>
      </c>
      <c r="M11" s="2" t="s">
        <v>263</v>
      </c>
      <c r="N11" s="2" t="s">
        <v>1357</v>
      </c>
      <c r="O11" s="2" t="s">
        <v>32</v>
      </c>
      <c r="P11" s="2" t="s">
        <v>1358</v>
      </c>
      <c r="Q11" s="2" t="s">
        <v>32</v>
      </c>
      <c r="R11" s="2" t="s">
        <v>1359</v>
      </c>
      <c r="S11" s="2" t="s">
        <v>32</v>
      </c>
      <c r="T11" s="2" t="s">
        <v>1360</v>
      </c>
      <c r="U11" s="2" t="s">
        <v>263</v>
      </c>
      <c r="V11" s="19" t="s">
        <v>1361</v>
      </c>
      <c r="W11" s="19" t="s">
        <v>263</v>
      </c>
      <c r="X11" s="19" t="s">
        <v>1362</v>
      </c>
      <c r="Y11" s="19" t="s">
        <v>263</v>
      </c>
      <c r="Z11" s="19" t="s">
        <v>1363</v>
      </c>
      <c r="AA11" s="19" t="s">
        <v>32</v>
      </c>
      <c r="AB11" s="19" t="s">
        <v>1364</v>
      </c>
      <c r="AC11" s="19" t="s">
        <v>263</v>
      </c>
      <c r="AD11" s="19" t="s">
        <v>1365</v>
      </c>
      <c r="AE11" s="19" t="s">
        <v>263</v>
      </c>
      <c r="AF11" s="19" t="s">
        <v>1366</v>
      </c>
      <c r="AG11" s="19" t="s">
        <v>32</v>
      </c>
      <c r="AH11" s="19" t="s">
        <v>1367</v>
      </c>
      <c r="AI11" s="19" t="s">
        <v>263</v>
      </c>
      <c r="AJ11" s="19" t="s">
        <v>1368</v>
      </c>
      <c r="AK11" s="19" t="s">
        <v>32</v>
      </c>
      <c r="AL11" s="19" t="s">
        <v>1369</v>
      </c>
      <c r="AM11" s="19" t="s">
        <v>32</v>
      </c>
      <c r="AN11" s="19" t="s">
        <v>1370</v>
      </c>
      <c r="AO11" s="19" t="s">
        <v>32</v>
      </c>
      <c r="AP11" s="19" t="s">
        <v>1371</v>
      </c>
      <c r="AQ11" s="19" t="s">
        <v>747</v>
      </c>
      <c r="AR11" s="19" t="s">
        <v>1119</v>
      </c>
      <c r="AS11" s="19" t="s">
        <v>747</v>
      </c>
      <c r="AT11" s="19" t="s">
        <v>1372</v>
      </c>
      <c r="AU11" s="19" t="s">
        <v>747</v>
      </c>
      <c r="AV11" s="19" t="s">
        <v>1373</v>
      </c>
      <c r="AW11" s="19" t="s">
        <v>747</v>
      </c>
      <c r="AX11" s="19" t="s">
        <v>1374</v>
      </c>
      <c r="AY11" s="19" t="s">
        <v>747</v>
      </c>
      <c r="AZ11" s="19" t="s">
        <v>1120</v>
      </c>
      <c r="BA11" s="19" t="s">
        <v>747</v>
      </c>
    </row>
    <row r="12" spans="1:53">
      <c r="A12" s="15" t="s">
        <v>34</v>
      </c>
      <c r="B12" s="2" t="s">
        <v>1375</v>
      </c>
      <c r="C12" s="2" t="s">
        <v>1376</v>
      </c>
      <c r="D12" s="2" t="s">
        <v>1377</v>
      </c>
      <c r="E12" s="2" t="s">
        <v>44</v>
      </c>
      <c r="F12" s="2" t="s">
        <v>1378</v>
      </c>
      <c r="G12" s="2" t="s">
        <v>1203</v>
      </c>
      <c r="H12" s="2" t="s">
        <v>1379</v>
      </c>
      <c r="I12" s="2" t="s">
        <v>1380</v>
      </c>
      <c r="J12" s="2" t="s">
        <v>1381</v>
      </c>
      <c r="K12" s="2" t="s">
        <v>44</v>
      </c>
      <c r="L12" s="2" t="s">
        <v>1382</v>
      </c>
      <c r="M12" s="2" t="s">
        <v>1376</v>
      </c>
      <c r="N12" s="2" t="s">
        <v>1383</v>
      </c>
      <c r="O12" s="2" t="s">
        <v>121</v>
      </c>
      <c r="P12" s="2" t="s">
        <v>1384</v>
      </c>
      <c r="Q12" s="2" t="s">
        <v>1158</v>
      </c>
      <c r="R12" s="2" t="s">
        <v>1385</v>
      </c>
      <c r="S12" s="2" t="s">
        <v>532</v>
      </c>
      <c r="T12" s="2" t="s">
        <v>1386</v>
      </c>
      <c r="U12" s="2" t="s">
        <v>1122</v>
      </c>
      <c r="V12" s="19" t="s">
        <v>1387</v>
      </c>
      <c r="W12" s="19" t="s">
        <v>1388</v>
      </c>
      <c r="X12" s="19" t="s">
        <v>1389</v>
      </c>
      <c r="Y12" s="19" t="s">
        <v>1206</v>
      </c>
      <c r="Z12" s="19" t="s">
        <v>1390</v>
      </c>
      <c r="AA12" s="19" t="s">
        <v>1203</v>
      </c>
      <c r="AB12" s="19" t="s">
        <v>1391</v>
      </c>
      <c r="AC12" s="19" t="s">
        <v>1392</v>
      </c>
      <c r="AD12" s="19" t="s">
        <v>1393</v>
      </c>
      <c r="AE12" s="19" t="s">
        <v>1394</v>
      </c>
      <c r="AF12" s="19" t="s">
        <v>1378</v>
      </c>
      <c r="AG12" s="19" t="s">
        <v>1203</v>
      </c>
      <c r="AH12" s="19" t="s">
        <v>1395</v>
      </c>
      <c r="AI12" s="19" t="s">
        <v>1394</v>
      </c>
      <c r="AJ12" s="19" t="s">
        <v>1396</v>
      </c>
      <c r="AK12" s="19" t="s">
        <v>1203</v>
      </c>
      <c r="AL12" s="19" t="s">
        <v>1397</v>
      </c>
      <c r="AM12" s="19" t="s">
        <v>1380</v>
      </c>
      <c r="AN12" s="19" t="s">
        <v>1398</v>
      </c>
      <c r="AO12" s="19" t="s">
        <v>1380</v>
      </c>
      <c r="AP12" s="19" t="s">
        <v>1399</v>
      </c>
      <c r="AQ12" s="19" t="s">
        <v>1128</v>
      </c>
      <c r="AR12" s="19" t="s">
        <v>1125</v>
      </c>
      <c r="AS12" s="19" t="s">
        <v>1126</v>
      </c>
      <c r="AT12" s="19" t="s">
        <v>1387</v>
      </c>
      <c r="AU12" s="19" t="s">
        <v>1400</v>
      </c>
      <c r="AV12" s="19" t="s">
        <v>1401</v>
      </c>
      <c r="AW12" s="19" t="s">
        <v>1400</v>
      </c>
      <c r="AX12" s="19" t="s">
        <v>1402</v>
      </c>
      <c r="AY12" s="19" t="s">
        <v>1403</v>
      </c>
      <c r="AZ12" s="19" t="s">
        <v>1127</v>
      </c>
      <c r="BA12" s="19" t="s">
        <v>1128</v>
      </c>
    </row>
    <row r="13" spans="1:53">
      <c r="A13" s="15" t="s">
        <v>40</v>
      </c>
      <c r="B13" s="2" t="s">
        <v>1404</v>
      </c>
      <c r="C13" s="2" t="s">
        <v>39</v>
      </c>
      <c r="D13" s="2" t="s">
        <v>1405</v>
      </c>
      <c r="E13" s="2" t="s">
        <v>308</v>
      </c>
      <c r="F13" s="2" t="s">
        <v>1406</v>
      </c>
      <c r="G13" s="2" t="s">
        <v>39</v>
      </c>
      <c r="H13" s="2" t="s">
        <v>1407</v>
      </c>
      <c r="I13" s="2" t="s">
        <v>537</v>
      </c>
      <c r="J13" s="2" t="s">
        <v>1408</v>
      </c>
      <c r="K13" s="2" t="s">
        <v>82</v>
      </c>
      <c r="L13" s="2" t="s">
        <v>1409</v>
      </c>
      <c r="M13" s="2" t="s">
        <v>308</v>
      </c>
      <c r="N13" s="2" t="s">
        <v>1410</v>
      </c>
      <c r="O13" s="2" t="s">
        <v>537</v>
      </c>
      <c r="P13" s="2" t="s">
        <v>1411</v>
      </c>
      <c r="Q13" s="2" t="s">
        <v>308</v>
      </c>
      <c r="R13" s="2" t="s">
        <v>1412</v>
      </c>
      <c r="S13" s="2" t="s">
        <v>302</v>
      </c>
      <c r="T13" s="2" t="s">
        <v>1413</v>
      </c>
      <c r="U13" s="2" t="s">
        <v>302</v>
      </c>
      <c r="V13" s="19" t="s">
        <v>1414</v>
      </c>
      <c r="W13" s="19" t="s">
        <v>371</v>
      </c>
      <c r="X13" s="19" t="s">
        <v>1415</v>
      </c>
      <c r="Y13" s="19" t="s">
        <v>127</v>
      </c>
      <c r="Z13" s="19" t="s">
        <v>1416</v>
      </c>
      <c r="AA13" s="19" t="s">
        <v>80</v>
      </c>
      <c r="AB13" s="19" t="s">
        <v>1417</v>
      </c>
      <c r="AC13" s="19" t="s">
        <v>39</v>
      </c>
      <c r="AD13" s="19" t="s">
        <v>1418</v>
      </c>
      <c r="AE13" s="19" t="s">
        <v>80</v>
      </c>
      <c r="AF13" s="19" t="s">
        <v>1419</v>
      </c>
      <c r="AG13" s="19" t="s">
        <v>39</v>
      </c>
      <c r="AH13" s="19" t="s">
        <v>1420</v>
      </c>
      <c r="AI13" s="19" t="s">
        <v>371</v>
      </c>
      <c r="AJ13" s="19" t="s">
        <v>1421</v>
      </c>
      <c r="AK13" s="19" t="s">
        <v>308</v>
      </c>
      <c r="AL13" s="19" t="s">
        <v>1422</v>
      </c>
      <c r="AM13" s="19" t="s">
        <v>82</v>
      </c>
      <c r="AN13" s="19" t="s">
        <v>1423</v>
      </c>
      <c r="AO13" s="19" t="s">
        <v>82</v>
      </c>
      <c r="AP13" s="19" t="s">
        <v>1424</v>
      </c>
      <c r="AQ13" s="19" t="s">
        <v>1136</v>
      </c>
      <c r="AR13" s="19" t="s">
        <v>1133</v>
      </c>
      <c r="AS13" s="19" t="s">
        <v>1134</v>
      </c>
      <c r="AT13" s="19" t="s">
        <v>1425</v>
      </c>
      <c r="AU13" s="19" t="s">
        <v>766</v>
      </c>
      <c r="AV13" s="19" t="s">
        <v>1426</v>
      </c>
      <c r="AW13" s="19" t="s">
        <v>766</v>
      </c>
      <c r="AX13" s="19" t="s">
        <v>1427</v>
      </c>
      <c r="AY13" s="19" t="s">
        <v>758</v>
      </c>
      <c r="AZ13" s="19" t="s">
        <v>1135</v>
      </c>
      <c r="BA13" s="19" t="s">
        <v>1136</v>
      </c>
    </row>
    <row r="14" spans="1:53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</row>
    <row r="15" spans="1:53">
      <c r="A15" s="15" t="s">
        <v>47</v>
      </c>
      <c r="B15" s="2">
        <v>5027</v>
      </c>
      <c r="C15" s="2"/>
      <c r="D15" s="2">
        <v>4913</v>
      </c>
      <c r="E15" s="2"/>
      <c r="F15" s="2">
        <v>5036</v>
      </c>
      <c r="G15" s="2"/>
      <c r="H15" s="2">
        <v>4965</v>
      </c>
      <c r="I15" s="2"/>
      <c r="J15" s="2">
        <v>4963</v>
      </c>
      <c r="K15" s="2"/>
      <c r="L15" s="2">
        <v>5046</v>
      </c>
      <c r="M15" s="2"/>
      <c r="N15" s="2">
        <v>4979</v>
      </c>
      <c r="O15" s="2"/>
      <c r="P15" s="2">
        <v>4923</v>
      </c>
      <c r="Q15" s="2"/>
      <c r="R15" s="2">
        <v>4970</v>
      </c>
      <c r="S15" s="2"/>
      <c r="T15" s="2">
        <v>4756</v>
      </c>
      <c r="U15" s="2"/>
      <c r="V15" s="19">
        <v>5092</v>
      </c>
      <c r="W15" s="19"/>
      <c r="X15" s="19">
        <v>5136</v>
      </c>
      <c r="Y15" s="19"/>
      <c r="Z15" s="19">
        <v>5115</v>
      </c>
      <c r="AA15" s="19"/>
      <c r="AB15" s="19">
        <v>5085</v>
      </c>
      <c r="AC15" s="19"/>
      <c r="AD15" s="19">
        <v>5106</v>
      </c>
      <c r="AE15" s="19"/>
      <c r="AF15" s="19">
        <v>5027</v>
      </c>
      <c r="AG15" s="19"/>
      <c r="AH15" s="19">
        <v>5092</v>
      </c>
      <c r="AI15" s="19"/>
      <c r="AJ15" s="19">
        <v>5125</v>
      </c>
      <c r="AK15" s="19"/>
      <c r="AL15" s="19">
        <v>5029</v>
      </c>
      <c r="AM15" s="19"/>
      <c r="AN15" s="19">
        <v>5018</v>
      </c>
      <c r="AO15" s="19"/>
      <c r="AP15" s="19">
        <v>5173</v>
      </c>
      <c r="AQ15" s="19"/>
      <c r="AR15" s="19">
        <v>5192</v>
      </c>
      <c r="AS15" s="19"/>
      <c r="AT15" s="19">
        <v>5153</v>
      </c>
      <c r="AU15" s="19"/>
      <c r="AV15" s="19">
        <v>5148</v>
      </c>
      <c r="AW15" s="19"/>
      <c r="AX15" s="19">
        <v>5156</v>
      </c>
      <c r="AY15" s="19"/>
      <c r="AZ15" s="19">
        <v>5215</v>
      </c>
      <c r="BA15" s="19"/>
    </row>
    <row r="16" spans="1:53">
      <c r="A16" s="15" t="s">
        <v>48</v>
      </c>
      <c r="B16" s="2">
        <f xml:space="preserve"> 5027/7245</f>
        <v>0.69385783298826775</v>
      </c>
      <c r="C16" s="10" t="s">
        <v>1428</v>
      </c>
      <c r="D16" s="2">
        <f xml:space="preserve"> 4913/7269</f>
        <v>0.67588389049387809</v>
      </c>
      <c r="E16" s="10" t="s">
        <v>329</v>
      </c>
      <c r="F16" s="2">
        <f xml:space="preserve"> 5036/7257</f>
        <v>0.69395066832024255</v>
      </c>
      <c r="G16" s="10" t="s">
        <v>1428</v>
      </c>
      <c r="H16" s="2">
        <f xml:space="preserve"> 4965/7248</f>
        <v>0.68501655629139069</v>
      </c>
      <c r="I16" s="10" t="s">
        <v>1429</v>
      </c>
      <c r="J16" s="2">
        <f xml:space="preserve"> 4963/7224</f>
        <v>0.68701550387596899</v>
      </c>
      <c r="K16" s="10" t="s">
        <v>945</v>
      </c>
      <c r="L16" s="2">
        <f xml:space="preserve"> 5046/7188</f>
        <v>0.70200333889816358</v>
      </c>
      <c r="M16" s="10" t="s">
        <v>614</v>
      </c>
      <c r="N16" s="2">
        <f xml:space="preserve"> 4979/7170</f>
        <v>0.69442119944212</v>
      </c>
      <c r="O16" s="10" t="s">
        <v>1428</v>
      </c>
      <c r="P16" s="2">
        <f xml:space="preserve"> 4923/7208</f>
        <v>0.68299112097669257</v>
      </c>
      <c r="Q16" s="10" t="s">
        <v>1430</v>
      </c>
      <c r="R16" s="2">
        <f xml:space="preserve"> 4970/7175</f>
        <v>0.69268292682926824</v>
      </c>
      <c r="S16" s="10" t="s">
        <v>1147</v>
      </c>
      <c r="T16" s="2">
        <f xml:space="preserve"> 4756/7196</f>
        <v>0.66092273485269593</v>
      </c>
      <c r="U16" s="10" t="s">
        <v>1431</v>
      </c>
      <c r="V16" s="19">
        <f xml:space="preserve"> 5092/7305</f>
        <v>0.69705681040383294</v>
      </c>
      <c r="W16" s="21" t="s">
        <v>1432</v>
      </c>
      <c r="X16" s="19">
        <f xml:space="preserve"> 5136/7285</f>
        <v>0.70501029512697322</v>
      </c>
      <c r="Y16" s="21" t="s">
        <v>795</v>
      </c>
      <c r="Z16" s="19">
        <f xml:space="preserve"> 5115/7260</f>
        <v>0.70454545454545459</v>
      </c>
      <c r="AA16" s="21" t="s">
        <v>795</v>
      </c>
      <c r="AB16" s="19">
        <f xml:space="preserve"> 5085/7284</f>
        <v>0.69810543657331137</v>
      </c>
      <c r="AC16" s="21" t="s">
        <v>1433</v>
      </c>
      <c r="AD16" s="19">
        <f xml:space="preserve"> 5106/7279</f>
        <v>0.7014699821404039</v>
      </c>
      <c r="AE16" s="21" t="s">
        <v>612</v>
      </c>
      <c r="AF16" s="19">
        <f xml:space="preserve"> 5027/7294</f>
        <v>0.68919659994516036</v>
      </c>
      <c r="AG16" s="21" t="s">
        <v>331</v>
      </c>
      <c r="AH16" s="19">
        <f xml:space="preserve"> 5092/7256</f>
        <v>0.70176405733186331</v>
      </c>
      <c r="AI16" s="21" t="s">
        <v>614</v>
      </c>
      <c r="AJ16" s="19">
        <f xml:space="preserve"> 5125/7213</f>
        <v>0.71052266740607239</v>
      </c>
      <c r="AK16" s="21" t="s">
        <v>68</v>
      </c>
      <c r="AL16" s="19">
        <f xml:space="preserve"> 5029/7232</f>
        <v>0.69538163716814161</v>
      </c>
      <c r="AM16" s="21" t="s">
        <v>138</v>
      </c>
      <c r="AN16" s="19">
        <f xml:space="preserve"> 5018/7238</f>
        <v>0.69328543796628905</v>
      </c>
      <c r="AO16" s="21" t="s">
        <v>1147</v>
      </c>
      <c r="AP16" s="19">
        <f xml:space="preserve"> 5173/7311</f>
        <v>0.70756394474080153</v>
      </c>
      <c r="AQ16" s="21" t="s">
        <v>335</v>
      </c>
      <c r="AR16" s="19">
        <f xml:space="preserve"> 5192/7288</f>
        <v>0.71240395170142701</v>
      </c>
      <c r="AS16" s="21" t="s">
        <v>347</v>
      </c>
      <c r="AT16" s="19">
        <f xml:space="preserve"> 5153/7304</f>
        <v>0.70550383351588175</v>
      </c>
      <c r="AU16" s="21" t="s">
        <v>1434</v>
      </c>
      <c r="AV16" s="19">
        <f xml:space="preserve"> 5148/7297</f>
        <v>0.70549540907222141</v>
      </c>
      <c r="AW16" s="21" t="s">
        <v>795</v>
      </c>
      <c r="AX16" s="19">
        <f xml:space="preserve"> 5156/7255</f>
        <v>0.71068228807718814</v>
      </c>
      <c r="AY16" s="21" t="s">
        <v>68</v>
      </c>
      <c r="AZ16" s="19">
        <f xml:space="preserve"> 5215/7310</f>
        <v>0.71340629274965806</v>
      </c>
      <c r="BA16" s="21" t="s">
        <v>619</v>
      </c>
    </row>
    <row r="17" spans="1:53">
      <c r="A17" s="15" t="s">
        <v>55</v>
      </c>
      <c r="B17" s="2">
        <f xml:space="preserve"> 5027/6795</f>
        <v>0.73980868285504042</v>
      </c>
      <c r="C17" s="10">
        <v>0.74</v>
      </c>
      <c r="D17" s="2">
        <f xml:space="preserve"> 4913/6795</f>
        <v>0.72303164091243566</v>
      </c>
      <c r="E17" s="10" t="s">
        <v>1435</v>
      </c>
      <c r="F17" s="2">
        <f xml:space="preserve"> 5036/6795</f>
        <v>0.74113318616629875</v>
      </c>
      <c r="G17" s="10" t="s">
        <v>356</v>
      </c>
      <c r="H17" s="2">
        <f xml:space="preserve"> 4965/6795</f>
        <v>0.73068432671081673</v>
      </c>
      <c r="I17" s="10" t="s">
        <v>1436</v>
      </c>
      <c r="J17" s="2">
        <f xml:space="preserve"> 4963/6795</f>
        <v>0.73038999264164828</v>
      </c>
      <c r="K17" s="10">
        <v>0.73</v>
      </c>
      <c r="L17" s="2">
        <f xml:space="preserve"> 5046/6795</f>
        <v>0.74260485651214125</v>
      </c>
      <c r="M17" s="10" t="s">
        <v>1437</v>
      </c>
      <c r="N17" s="2">
        <f xml:space="preserve"> 4979/6795</f>
        <v>0.73274466519499637</v>
      </c>
      <c r="O17" s="10" t="s">
        <v>1222</v>
      </c>
      <c r="P17" s="2">
        <f xml:space="preserve"> 4923/6795</f>
        <v>0.72450331125827816</v>
      </c>
      <c r="Q17" s="10" t="s">
        <v>1438</v>
      </c>
      <c r="R17" s="2">
        <f xml:space="preserve"> 4970/6795</f>
        <v>0.73142016188373804</v>
      </c>
      <c r="S17" s="10" t="s">
        <v>1436</v>
      </c>
      <c r="T17" s="2">
        <f xml:space="preserve"> 4756/6795</f>
        <v>0.69992641648270792</v>
      </c>
      <c r="U17" s="10">
        <v>0.7</v>
      </c>
      <c r="V17" s="19">
        <f xml:space="preserve"> 5092/6795</f>
        <v>0.74937454010301696</v>
      </c>
      <c r="W17" s="21" t="s">
        <v>1439</v>
      </c>
      <c r="X17" s="19">
        <f xml:space="preserve"> 5136/6795</f>
        <v>0.7558498896247241</v>
      </c>
      <c r="Y17" s="21" t="s">
        <v>1440</v>
      </c>
      <c r="Z17" s="19">
        <f xml:space="preserve"> 5115/6795</f>
        <v>0.7527593818984547</v>
      </c>
      <c r="AA17" s="21" t="s">
        <v>1441</v>
      </c>
      <c r="AB17" s="19">
        <f xml:space="preserve"> 5085/6795</f>
        <v>0.7483443708609272</v>
      </c>
      <c r="AC17" s="21" t="s">
        <v>1442</v>
      </c>
      <c r="AD17" s="19">
        <f xml:space="preserve"> 5106/6795</f>
        <v>0.75143487858719649</v>
      </c>
      <c r="AE17" s="21" t="s">
        <v>1443</v>
      </c>
      <c r="AF17" s="19">
        <f xml:space="preserve"> 5027/6795</f>
        <v>0.73980868285504042</v>
      </c>
      <c r="AG17" s="21">
        <v>0.74</v>
      </c>
      <c r="AH17" s="19">
        <f xml:space="preserve"> 5092/6795</f>
        <v>0.74937454010301696</v>
      </c>
      <c r="AI17" s="21" t="s">
        <v>1439</v>
      </c>
      <c r="AJ17" s="19">
        <f xml:space="preserve"> 5125/6795</f>
        <v>0.75423105224429732</v>
      </c>
      <c r="AK17" s="21" t="s">
        <v>1141</v>
      </c>
      <c r="AL17" s="19">
        <f xml:space="preserve"> 5029/6795</f>
        <v>0.74010301692420899</v>
      </c>
      <c r="AM17" s="21">
        <v>0.74</v>
      </c>
      <c r="AN17" s="19">
        <f xml:space="preserve"> 5018/6795</f>
        <v>0.7384841795437822</v>
      </c>
      <c r="AO17" s="21" t="s">
        <v>1444</v>
      </c>
      <c r="AP17" s="19">
        <f xml:space="preserve"> 5173/6795</f>
        <v>0.76129506990434148</v>
      </c>
      <c r="AQ17" s="21" t="s">
        <v>1445</v>
      </c>
      <c r="AR17" s="19">
        <f xml:space="preserve"> 5192/6795</f>
        <v>0.7640912435614422</v>
      </c>
      <c r="AS17" s="21" t="s">
        <v>1138</v>
      </c>
      <c r="AT17" s="19">
        <f xml:space="preserve"> 5153/6795</f>
        <v>0.75835172921265637</v>
      </c>
      <c r="AU17" s="21" t="s">
        <v>1446</v>
      </c>
      <c r="AV17" s="19">
        <f xml:space="preserve"> 5148/6795</f>
        <v>0.75761589403973506</v>
      </c>
      <c r="AW17" s="21" t="s">
        <v>1446</v>
      </c>
      <c r="AX17" s="19">
        <f xml:space="preserve"> 5156/6795</f>
        <v>0.75879323031640911</v>
      </c>
      <c r="AY17" s="21" t="s">
        <v>1447</v>
      </c>
      <c r="AZ17" s="19">
        <f xml:space="preserve"> 5215/6795</f>
        <v>0.76747608535688006</v>
      </c>
      <c r="BA17" s="21" t="s">
        <v>1139</v>
      </c>
    </row>
    <row r="18" spans="1:53">
      <c r="A18" s="15" t="s">
        <v>62</v>
      </c>
      <c r="B18" s="2" t="s">
        <v>1448</v>
      </c>
      <c r="C18" s="10" t="s">
        <v>1449</v>
      </c>
      <c r="D18" s="2" t="s">
        <v>1450</v>
      </c>
      <c r="E18" s="10" t="s">
        <v>1451</v>
      </c>
      <c r="F18" s="2" t="s">
        <v>1452</v>
      </c>
      <c r="G18" s="10" t="s">
        <v>1449</v>
      </c>
      <c r="H18" s="2" t="s">
        <v>1453</v>
      </c>
      <c r="I18" s="10" t="s">
        <v>1138</v>
      </c>
      <c r="J18" s="2" t="s">
        <v>1454</v>
      </c>
      <c r="K18" s="10" t="s">
        <v>1455</v>
      </c>
      <c r="L18" s="2" t="s">
        <v>1456</v>
      </c>
      <c r="M18" s="10" t="s">
        <v>1457</v>
      </c>
      <c r="N18" s="2" t="s">
        <v>1458</v>
      </c>
      <c r="O18" s="10">
        <v>0.77</v>
      </c>
      <c r="P18" s="2" t="s">
        <v>1459</v>
      </c>
      <c r="Q18" s="10" t="s">
        <v>1447</v>
      </c>
      <c r="R18" s="2" t="s">
        <v>1460</v>
      </c>
      <c r="S18" s="10" t="s">
        <v>1139</v>
      </c>
      <c r="T18" s="2" t="s">
        <v>1461</v>
      </c>
      <c r="U18" s="10" t="s">
        <v>1444</v>
      </c>
      <c r="V18" s="19" t="s">
        <v>1462</v>
      </c>
      <c r="W18" s="21">
        <v>0.78</v>
      </c>
      <c r="X18" s="19" t="s">
        <v>1463</v>
      </c>
      <c r="Y18" s="21" t="s">
        <v>1464</v>
      </c>
      <c r="Z18" s="19" t="s">
        <v>1465</v>
      </c>
      <c r="AA18" s="21" t="s">
        <v>1464</v>
      </c>
      <c r="AB18" s="19" t="s">
        <v>1466</v>
      </c>
      <c r="AC18" s="21" t="s">
        <v>1467</v>
      </c>
      <c r="AD18" s="19" t="s">
        <v>1468</v>
      </c>
      <c r="AE18" s="21" t="s">
        <v>1469</v>
      </c>
      <c r="AF18" s="19" t="s">
        <v>1470</v>
      </c>
      <c r="AG18" s="21" t="s">
        <v>1471</v>
      </c>
      <c r="AH18" s="19" t="s">
        <v>1472</v>
      </c>
      <c r="AI18" s="21" t="s">
        <v>1473</v>
      </c>
      <c r="AJ18" s="19" t="s">
        <v>1474</v>
      </c>
      <c r="AK18" s="21" t="s">
        <v>1475</v>
      </c>
      <c r="AL18" s="19" t="s">
        <v>1476</v>
      </c>
      <c r="AM18" s="21" t="s">
        <v>1477</v>
      </c>
      <c r="AN18" s="19" t="s">
        <v>1478</v>
      </c>
      <c r="AO18" s="21" t="s">
        <v>1471</v>
      </c>
      <c r="AP18" s="19" t="s">
        <v>1479</v>
      </c>
      <c r="AQ18" s="21" t="s">
        <v>1480</v>
      </c>
      <c r="AR18" s="19" t="s">
        <v>1148</v>
      </c>
      <c r="AS18" s="21" t="s">
        <v>1149</v>
      </c>
      <c r="AT18" s="19" t="s">
        <v>1481</v>
      </c>
      <c r="AU18" s="21" t="s">
        <v>1482</v>
      </c>
      <c r="AV18" s="19" t="s">
        <v>1483</v>
      </c>
      <c r="AW18" s="21" t="s">
        <v>1482</v>
      </c>
      <c r="AX18" s="19" t="s">
        <v>1484</v>
      </c>
      <c r="AY18" s="21" t="s">
        <v>1480</v>
      </c>
      <c r="AZ18" s="19" t="s">
        <v>1150</v>
      </c>
      <c r="BA18" s="21" t="s">
        <v>1151</v>
      </c>
    </row>
    <row r="19" spans="1:53">
      <c r="B19" s="2">
        <f>B16*B17</f>
        <v>0.51332204951170302</v>
      </c>
      <c r="C19" s="2"/>
      <c r="D19" s="2">
        <f>D16*D17</f>
        <v>0.48868543841006967</v>
      </c>
      <c r="E19" s="2"/>
      <c r="F19" s="2">
        <f>F16*F17</f>
        <v>0.51430986985441374</v>
      </c>
      <c r="G19" s="2"/>
      <c r="H19" s="2">
        <f>H16*H17</f>
        <v>0.50053086121953705</v>
      </c>
      <c r="I19" s="2"/>
      <c r="J19" s="2">
        <f>J16*J17</f>
        <v>0.50178924882066722</v>
      </c>
      <c r="K19" s="2"/>
      <c r="L19" s="2">
        <f>L16*L17</f>
        <v>0.52131108875351484</v>
      </c>
      <c r="M19" s="2"/>
      <c r="N19" s="2">
        <f>N16*N17</f>
        <v>0.50883342928952402</v>
      </c>
      <c r="O19" s="2"/>
      <c r="P19" s="2">
        <f>P16*P17</f>
        <v>0.49482932870761703</v>
      </c>
      <c r="Q19" s="2"/>
      <c r="R19" s="2">
        <f>R16*R17</f>
        <v>0.50664225847556488</v>
      </c>
      <c r="S19" s="2"/>
      <c r="T19" s="2">
        <f>T16*T17</f>
        <v>0.46259728137739836</v>
      </c>
      <c r="U19" s="2"/>
      <c r="V19" s="2">
        <f>V16*V17</f>
        <v>0.52235662672204819</v>
      </c>
      <c r="W19" s="19"/>
      <c r="X19" s="2">
        <f>X16*X17</f>
        <v>0.53288195375601688</v>
      </c>
      <c r="Y19" s="19"/>
      <c r="Z19" s="2">
        <f>Z16*Z17</f>
        <v>0.5303532008830022</v>
      </c>
      <c r="AA19" s="19"/>
      <c r="AB19" s="2">
        <f>AB16*AB17</f>
        <v>0.52242327372704767</v>
      </c>
      <c r="AC19" s="19"/>
      <c r="AD19" s="2">
        <f>AD16*AD17</f>
        <v>0.52710901086223727</v>
      </c>
      <c r="AE19" s="19"/>
      <c r="AF19" s="2">
        <f>AF16*AF17</f>
        <v>0.50987362883360132</v>
      </c>
      <c r="AG19" s="19"/>
      <c r="AH19" s="2">
        <f>AH16*AH17</f>
        <v>0.52588411772389232</v>
      </c>
      <c r="AI19" s="19"/>
      <c r="AJ19" s="2">
        <f>AJ16*AJ17</f>
        <v>0.53589825908110689</v>
      </c>
      <c r="AK19" s="19"/>
      <c r="AL19" s="2">
        <f>AL16*AL17</f>
        <v>0.5146540475818373</v>
      </c>
      <c r="AM19" s="19"/>
      <c r="AN19" s="2">
        <f>AN16*AN17</f>
        <v>0.51198032784618663</v>
      </c>
      <c r="AO19" s="19"/>
      <c r="AP19" s="2">
        <f>AP16*AP17</f>
        <v>0.53866494277324006</v>
      </c>
      <c r="AQ19" s="19"/>
      <c r="AR19" s="2">
        <f>AR16*AR17</f>
        <v>0.54434162137362896</v>
      </c>
      <c r="AS19" s="19"/>
      <c r="AT19" s="2">
        <f>AT16*AT17</f>
        <v>0.53502005211292691</v>
      </c>
      <c r="AU19" s="19"/>
      <c r="AV19" s="2">
        <f>AV16*AV17</f>
        <v>0.53449453508517963</v>
      </c>
      <c r="AW19" s="19"/>
      <c r="AX19" s="2">
        <f>AX16*AX17</f>
        <v>0.53926090909874647</v>
      </c>
      <c r="AY19" s="19"/>
      <c r="AZ19" s="2">
        <f>AZ16*AZ17</f>
        <v>0.54752226882847188</v>
      </c>
      <c r="BA19" s="19"/>
    </row>
    <row r="20" spans="1:5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</row>
    <row r="21" spans="1:53">
      <c r="A21" s="15" t="s">
        <v>69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</row>
    <row r="22" spans="1:5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</row>
    <row r="23" spans="1:53">
      <c r="A23" s="15" t="s">
        <v>70</v>
      </c>
      <c r="B23" s="2">
        <v>6768</v>
      </c>
      <c r="C23" s="2"/>
      <c r="D23" s="2">
        <v>6801</v>
      </c>
      <c r="E23" s="2"/>
      <c r="F23" s="2">
        <v>6780</v>
      </c>
      <c r="G23" s="2"/>
      <c r="H23" s="2">
        <v>6791</v>
      </c>
      <c r="I23" s="2"/>
      <c r="J23" s="2">
        <v>6754</v>
      </c>
      <c r="K23" s="2"/>
      <c r="L23" s="2">
        <v>6727</v>
      </c>
      <c r="M23" s="2"/>
      <c r="N23" s="2">
        <v>6720</v>
      </c>
      <c r="O23" s="2"/>
      <c r="P23" s="2">
        <v>6744</v>
      </c>
      <c r="Q23" s="2"/>
      <c r="R23" s="2">
        <v>6734</v>
      </c>
      <c r="S23" s="2"/>
      <c r="T23" s="2">
        <v>6759</v>
      </c>
      <c r="U23" s="2"/>
      <c r="V23" s="19">
        <v>6807</v>
      </c>
      <c r="W23" s="19"/>
      <c r="X23" s="19">
        <v>6785</v>
      </c>
      <c r="Y23" s="19"/>
      <c r="Z23" s="19">
        <v>6777</v>
      </c>
      <c r="AA23" s="19"/>
      <c r="AB23" s="19">
        <v>6802</v>
      </c>
      <c r="AC23" s="19"/>
      <c r="AD23" s="19">
        <v>6791</v>
      </c>
      <c r="AE23" s="19"/>
      <c r="AF23" s="19">
        <v>6814</v>
      </c>
      <c r="AG23" s="19"/>
      <c r="AH23" s="19">
        <v>6763</v>
      </c>
      <c r="AI23" s="19"/>
      <c r="AJ23" s="19">
        <v>6752</v>
      </c>
      <c r="AK23" s="19"/>
      <c r="AL23" s="19">
        <v>6761</v>
      </c>
      <c r="AM23" s="19"/>
      <c r="AN23" s="19">
        <v>6766</v>
      </c>
      <c r="AO23" s="19"/>
      <c r="AP23" s="19">
        <v>6800</v>
      </c>
      <c r="AQ23" s="19"/>
      <c r="AR23" s="19">
        <v>6787</v>
      </c>
      <c r="AS23" s="19"/>
      <c r="AT23" s="19">
        <v>6804</v>
      </c>
      <c r="AU23" s="19"/>
      <c r="AV23" s="19">
        <v>6803</v>
      </c>
      <c r="AW23" s="19"/>
      <c r="AX23" s="19">
        <v>6768</v>
      </c>
      <c r="AY23" s="19"/>
      <c r="AZ23" s="19">
        <v>6800</v>
      </c>
      <c r="BA23" s="19"/>
    </row>
    <row r="24" spans="1:53">
      <c r="A24" s="15" t="s">
        <v>71</v>
      </c>
      <c r="B24" s="2">
        <v>6501</v>
      </c>
      <c r="C24" s="2"/>
      <c r="D24" s="2">
        <v>6490</v>
      </c>
      <c r="E24" s="2"/>
      <c r="F24" s="2">
        <v>6511</v>
      </c>
      <c r="G24" s="2"/>
      <c r="H24" s="2">
        <v>6498</v>
      </c>
      <c r="I24" s="2"/>
      <c r="J24" s="2">
        <v>6488</v>
      </c>
      <c r="K24" s="2"/>
      <c r="L24" s="2">
        <v>6504</v>
      </c>
      <c r="M24" s="2"/>
      <c r="N24" s="2">
        <v>6469</v>
      </c>
      <c r="O24" s="2"/>
      <c r="P24" s="2">
        <v>6482</v>
      </c>
      <c r="Q24" s="2"/>
      <c r="R24" s="2">
        <v>6479</v>
      </c>
      <c r="S24" s="2"/>
      <c r="T24" s="2">
        <v>6448</v>
      </c>
      <c r="U24" s="2"/>
      <c r="V24" s="19">
        <v>6530</v>
      </c>
      <c r="W24" s="19"/>
      <c r="X24" s="19">
        <v>6536</v>
      </c>
      <c r="Y24" s="19"/>
      <c r="Z24" s="19">
        <v>6508</v>
      </c>
      <c r="AA24" s="19"/>
      <c r="AB24" s="19">
        <v>6524</v>
      </c>
      <c r="AC24" s="19"/>
      <c r="AD24" s="19">
        <v>6514</v>
      </c>
      <c r="AE24" s="19"/>
      <c r="AF24" s="19">
        <v>6511</v>
      </c>
      <c r="AG24" s="19"/>
      <c r="AH24" s="19">
        <v>6517</v>
      </c>
      <c r="AI24" s="19"/>
      <c r="AJ24" s="19">
        <v>6513</v>
      </c>
      <c r="AK24" s="19"/>
      <c r="AL24" s="19">
        <v>6494</v>
      </c>
      <c r="AM24" s="19"/>
      <c r="AN24" s="19">
        <v>6496</v>
      </c>
      <c r="AO24" s="19"/>
      <c r="AP24" s="19">
        <v>6542</v>
      </c>
      <c r="AQ24" s="19"/>
      <c r="AR24" s="19">
        <v>6534</v>
      </c>
      <c r="AS24" s="19"/>
      <c r="AT24" s="19">
        <v>6530</v>
      </c>
      <c r="AU24" s="19"/>
      <c r="AV24" s="19">
        <v>6527</v>
      </c>
      <c r="AW24" s="19"/>
      <c r="AX24" s="19">
        <v>6521</v>
      </c>
      <c r="AY24" s="19"/>
      <c r="AZ24" s="19">
        <v>6541</v>
      </c>
      <c r="BA24" s="19"/>
    </row>
    <row r="25" spans="1:53">
      <c r="A25" s="15" t="s">
        <v>72</v>
      </c>
      <c r="B25" s="2">
        <v>39900</v>
      </c>
      <c r="C25" s="2"/>
      <c r="D25" s="2">
        <v>39487</v>
      </c>
      <c r="E25" s="2"/>
      <c r="F25" s="2">
        <v>39859</v>
      </c>
      <c r="G25" s="2"/>
      <c r="H25" s="2">
        <v>39577</v>
      </c>
      <c r="I25" s="2"/>
      <c r="J25" s="2">
        <v>39664</v>
      </c>
      <c r="K25" s="2"/>
      <c r="L25" s="2">
        <v>39976</v>
      </c>
      <c r="M25" s="2"/>
      <c r="N25" s="2">
        <v>39664</v>
      </c>
      <c r="O25" s="2"/>
      <c r="P25" s="2">
        <v>39528</v>
      </c>
      <c r="Q25" s="2"/>
      <c r="R25" s="2">
        <v>39597</v>
      </c>
      <c r="S25" s="2"/>
      <c r="T25" s="2">
        <v>39047</v>
      </c>
      <c r="U25" s="2"/>
      <c r="V25" s="19">
        <v>40072</v>
      </c>
      <c r="W25" s="19"/>
      <c r="X25" s="19">
        <v>40246</v>
      </c>
      <c r="Y25" s="19"/>
      <c r="Z25" s="19">
        <v>40063</v>
      </c>
      <c r="AA25" s="19"/>
      <c r="AB25" s="19">
        <v>39988</v>
      </c>
      <c r="AC25" s="19"/>
      <c r="AD25" s="19">
        <v>40019</v>
      </c>
      <c r="AE25" s="19"/>
      <c r="AF25" s="19">
        <v>39714</v>
      </c>
      <c r="AG25" s="19"/>
      <c r="AH25" s="19">
        <v>40077</v>
      </c>
      <c r="AI25" s="19"/>
      <c r="AJ25" s="19">
        <v>40133</v>
      </c>
      <c r="AK25" s="19"/>
      <c r="AL25" s="19">
        <v>39778</v>
      </c>
      <c r="AM25" s="19"/>
      <c r="AN25" s="19">
        <v>39714</v>
      </c>
      <c r="AO25" s="19"/>
      <c r="AP25" s="19">
        <v>40344</v>
      </c>
      <c r="AQ25" s="19"/>
      <c r="AR25" s="19">
        <v>40364</v>
      </c>
      <c r="AS25" s="19"/>
      <c r="AT25" s="19">
        <v>40189</v>
      </c>
      <c r="AU25" s="19"/>
      <c r="AV25" s="19">
        <v>40125</v>
      </c>
      <c r="AW25" s="19"/>
      <c r="AX25" s="19">
        <v>40201</v>
      </c>
      <c r="AY25" s="19"/>
      <c r="AZ25" s="19">
        <v>40415</v>
      </c>
      <c r="BA25" s="19"/>
    </row>
    <row r="26" spans="1:53">
      <c r="A26" s="15" t="s">
        <v>73</v>
      </c>
      <c r="B26" s="2">
        <v>32890</v>
      </c>
      <c r="C26" s="2"/>
      <c r="D26" s="2">
        <v>32474</v>
      </c>
      <c r="E26" s="2"/>
      <c r="F26" s="2">
        <v>32844</v>
      </c>
      <c r="G26" s="2"/>
      <c r="H26" s="2">
        <v>32554</v>
      </c>
      <c r="I26" s="2"/>
      <c r="J26" s="2">
        <v>32679</v>
      </c>
      <c r="K26" s="2"/>
      <c r="L26" s="2">
        <v>33009</v>
      </c>
      <c r="M26" s="2"/>
      <c r="N26" s="2">
        <v>32695</v>
      </c>
      <c r="O26" s="2"/>
      <c r="P26" s="2">
        <v>32570</v>
      </c>
      <c r="Q26" s="2"/>
      <c r="R26" s="2">
        <v>32646</v>
      </c>
      <c r="S26" s="2"/>
      <c r="T26" s="2">
        <v>32096</v>
      </c>
      <c r="U26" s="2"/>
      <c r="V26" s="19">
        <v>32981</v>
      </c>
      <c r="W26" s="19"/>
      <c r="X26" s="19">
        <v>33166</v>
      </c>
      <c r="Y26" s="19"/>
      <c r="Z26" s="19">
        <v>32983</v>
      </c>
      <c r="AA26" s="19"/>
      <c r="AB26" s="19">
        <v>32916</v>
      </c>
      <c r="AC26" s="19"/>
      <c r="AD26" s="19">
        <v>32955</v>
      </c>
      <c r="AE26" s="19"/>
      <c r="AF26" s="19">
        <v>32646</v>
      </c>
      <c r="AG26" s="19"/>
      <c r="AH26" s="19">
        <v>33031</v>
      </c>
      <c r="AI26" s="19"/>
      <c r="AJ26" s="19">
        <v>33103</v>
      </c>
      <c r="AK26" s="19"/>
      <c r="AL26" s="19">
        <v>32739</v>
      </c>
      <c r="AM26" s="19"/>
      <c r="AN26" s="19">
        <v>32691</v>
      </c>
      <c r="AO26" s="19"/>
      <c r="AP26" s="19">
        <v>33220</v>
      </c>
      <c r="AQ26" s="19"/>
      <c r="AR26" s="19">
        <v>33248</v>
      </c>
      <c r="AS26" s="19"/>
      <c r="AT26" s="19">
        <v>33056</v>
      </c>
      <c r="AU26" s="19"/>
      <c r="AV26" s="19">
        <v>33031</v>
      </c>
      <c r="AW26" s="19"/>
      <c r="AX26" s="19">
        <v>33123</v>
      </c>
      <c r="AY26" s="19"/>
      <c r="AZ26" s="19">
        <v>33267</v>
      </c>
      <c r="BA26" s="19"/>
    </row>
    <row r="27" spans="1:53">
      <c r="A27" s="15" t="s">
        <v>74</v>
      </c>
      <c r="B27" s="2">
        <v>42170</v>
      </c>
      <c r="C27" s="2"/>
      <c r="D27" s="2">
        <v>42110</v>
      </c>
      <c r="E27" s="2"/>
      <c r="F27" s="2">
        <v>42204</v>
      </c>
      <c r="G27" s="2"/>
      <c r="H27" s="2">
        <v>42171</v>
      </c>
      <c r="I27" s="2"/>
      <c r="J27" s="2">
        <v>42112</v>
      </c>
      <c r="K27" s="2"/>
      <c r="L27" s="2">
        <v>42188</v>
      </c>
      <c r="M27" s="2"/>
      <c r="N27" s="2">
        <v>42021</v>
      </c>
      <c r="O27" s="2"/>
      <c r="P27" s="2">
        <v>42080</v>
      </c>
      <c r="Q27" s="2"/>
      <c r="R27" s="2">
        <v>42070</v>
      </c>
      <c r="S27" s="2"/>
      <c r="T27" s="2">
        <v>41890</v>
      </c>
      <c r="U27" s="2"/>
      <c r="V27" s="19">
        <v>42312</v>
      </c>
      <c r="W27" s="19"/>
      <c r="X27" s="19">
        <v>42352</v>
      </c>
      <c r="Y27" s="19"/>
      <c r="Z27" s="19">
        <v>42231</v>
      </c>
      <c r="AA27" s="19"/>
      <c r="AB27" s="19">
        <v>42272</v>
      </c>
      <c r="AC27" s="19"/>
      <c r="AD27" s="19">
        <v>42258</v>
      </c>
      <c r="AE27" s="19"/>
      <c r="AF27" s="19">
        <v>42204</v>
      </c>
      <c r="AG27" s="19"/>
      <c r="AH27" s="19">
        <v>42235</v>
      </c>
      <c r="AI27" s="19"/>
      <c r="AJ27" s="19">
        <v>42239</v>
      </c>
      <c r="AK27" s="19"/>
      <c r="AL27" s="19">
        <v>42123</v>
      </c>
      <c r="AM27" s="19"/>
      <c r="AN27" s="19">
        <v>42140</v>
      </c>
      <c r="AO27" s="19"/>
      <c r="AP27" s="19">
        <v>42373</v>
      </c>
      <c r="AQ27" s="19"/>
      <c r="AR27" s="19">
        <v>42354</v>
      </c>
      <c r="AS27" s="19"/>
      <c r="AT27" s="19">
        <v>42293</v>
      </c>
      <c r="AU27" s="19"/>
      <c r="AV27" s="19">
        <v>42305</v>
      </c>
      <c r="AW27" s="19"/>
      <c r="AX27" s="19">
        <v>42275</v>
      </c>
      <c r="AY27" s="19"/>
      <c r="AZ27" s="19">
        <v>42385</v>
      </c>
      <c r="BA27" s="19"/>
    </row>
    <row r="28" spans="1:53">
      <c r="A28" s="15" t="s">
        <v>75</v>
      </c>
      <c r="B28" s="2">
        <v>35440</v>
      </c>
      <c r="C28" s="2"/>
      <c r="D28" s="2">
        <v>35392</v>
      </c>
      <c r="E28" s="2"/>
      <c r="F28" s="2">
        <v>35463</v>
      </c>
      <c r="G28" s="2"/>
      <c r="H28" s="2">
        <v>35443</v>
      </c>
      <c r="I28" s="2"/>
      <c r="J28" s="2">
        <v>35398</v>
      </c>
      <c r="K28" s="2"/>
      <c r="L28" s="2">
        <v>35455</v>
      </c>
      <c r="M28" s="2"/>
      <c r="N28" s="2">
        <v>35327</v>
      </c>
      <c r="O28" s="2"/>
      <c r="P28" s="2">
        <v>35372</v>
      </c>
      <c r="Q28" s="2"/>
      <c r="R28" s="2">
        <v>35364</v>
      </c>
      <c r="S28" s="2"/>
      <c r="T28" s="2">
        <v>35219</v>
      </c>
      <c r="U28" s="2"/>
      <c r="V28" s="19">
        <v>35547</v>
      </c>
      <c r="W28" s="19"/>
      <c r="X28" s="19">
        <v>35584</v>
      </c>
      <c r="Y28" s="19"/>
      <c r="Z28" s="19">
        <v>35493</v>
      </c>
      <c r="AA28" s="19"/>
      <c r="AB28" s="19">
        <v>35516</v>
      </c>
      <c r="AC28" s="19"/>
      <c r="AD28" s="19">
        <v>35514</v>
      </c>
      <c r="AE28" s="19"/>
      <c r="AF28" s="19">
        <v>35463</v>
      </c>
      <c r="AG28" s="19"/>
      <c r="AH28" s="19">
        <v>35490</v>
      </c>
      <c r="AI28" s="19"/>
      <c r="AJ28" s="19">
        <v>35498</v>
      </c>
      <c r="AK28" s="19"/>
      <c r="AL28" s="19">
        <v>35401</v>
      </c>
      <c r="AM28" s="19"/>
      <c r="AN28" s="19">
        <v>35416</v>
      </c>
      <c r="AO28" s="19"/>
      <c r="AP28" s="19">
        <v>35598</v>
      </c>
      <c r="AQ28" s="19"/>
      <c r="AR28" s="19">
        <v>35589</v>
      </c>
      <c r="AS28" s="19"/>
      <c r="AT28" s="19">
        <v>35532</v>
      </c>
      <c r="AU28" s="19"/>
      <c r="AV28" s="19">
        <v>35546</v>
      </c>
      <c r="AW28" s="19"/>
      <c r="AX28" s="19">
        <v>35523</v>
      </c>
      <c r="AY28" s="19"/>
      <c r="AZ28" s="19">
        <v>35613</v>
      </c>
      <c r="BA28" s="19"/>
    </row>
    <row r="29" spans="1:5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</row>
    <row r="30" spans="1:53">
      <c r="A30" s="15" t="s">
        <v>7</v>
      </c>
      <c r="B30" s="2" t="s">
        <v>1485</v>
      </c>
      <c r="C30" s="2" t="s">
        <v>46</v>
      </c>
      <c r="D30" s="2" t="s">
        <v>1486</v>
      </c>
      <c r="E30" s="2" t="s">
        <v>276</v>
      </c>
      <c r="F30" s="2" t="s">
        <v>1487</v>
      </c>
      <c r="G30" s="2" t="s">
        <v>1122</v>
      </c>
      <c r="H30" s="2" t="s">
        <v>1488</v>
      </c>
      <c r="I30" s="2" t="s">
        <v>276</v>
      </c>
      <c r="J30" s="2" t="s">
        <v>1489</v>
      </c>
      <c r="K30" s="2" t="s">
        <v>271</v>
      </c>
      <c r="L30" s="2" t="s">
        <v>1490</v>
      </c>
      <c r="M30" s="2" t="s">
        <v>121</v>
      </c>
      <c r="N30" s="2" t="s">
        <v>1491</v>
      </c>
      <c r="O30" s="2" t="s">
        <v>526</v>
      </c>
      <c r="P30" s="2" t="s">
        <v>1492</v>
      </c>
      <c r="Q30" s="2" t="s">
        <v>125</v>
      </c>
      <c r="R30" s="2" t="s">
        <v>1493</v>
      </c>
      <c r="S30" s="2" t="s">
        <v>518</v>
      </c>
      <c r="T30" s="2" t="s">
        <v>1494</v>
      </c>
      <c r="U30" s="2" t="s">
        <v>304</v>
      </c>
      <c r="V30" s="19" t="s">
        <v>1495</v>
      </c>
      <c r="W30" s="19" t="s">
        <v>46</v>
      </c>
      <c r="X30" s="19" t="s">
        <v>1496</v>
      </c>
      <c r="Y30" s="19" t="s">
        <v>532</v>
      </c>
      <c r="Z30" s="19" t="s">
        <v>1497</v>
      </c>
      <c r="AA30" s="19" t="s">
        <v>274</v>
      </c>
      <c r="AB30" s="19" t="s">
        <v>1498</v>
      </c>
      <c r="AC30" s="19" t="s">
        <v>46</v>
      </c>
      <c r="AD30" s="19" t="s">
        <v>1499</v>
      </c>
      <c r="AE30" s="19" t="s">
        <v>46</v>
      </c>
      <c r="AF30" s="19" t="s">
        <v>1500</v>
      </c>
      <c r="AG30" s="19" t="s">
        <v>125</v>
      </c>
      <c r="AH30" s="19" t="s">
        <v>1501</v>
      </c>
      <c r="AI30" s="19" t="s">
        <v>121</v>
      </c>
      <c r="AJ30" s="19" t="s">
        <v>1502</v>
      </c>
      <c r="AK30" s="19" t="s">
        <v>532</v>
      </c>
      <c r="AL30" s="19" t="s">
        <v>1503</v>
      </c>
      <c r="AM30" s="19" t="s">
        <v>526</v>
      </c>
      <c r="AN30" s="19" t="s">
        <v>1504</v>
      </c>
      <c r="AO30" s="19" t="s">
        <v>518</v>
      </c>
      <c r="AP30" s="19" t="s">
        <v>1505</v>
      </c>
      <c r="AQ30" s="19" t="s">
        <v>1158</v>
      </c>
      <c r="AR30" s="19" t="s">
        <v>1157</v>
      </c>
      <c r="AS30" s="19" t="s">
        <v>1158</v>
      </c>
      <c r="AT30" s="19" t="s">
        <v>1506</v>
      </c>
      <c r="AU30" s="19" t="s">
        <v>274</v>
      </c>
      <c r="AV30" s="19" t="s">
        <v>1507</v>
      </c>
      <c r="AW30" s="19" t="s">
        <v>274</v>
      </c>
      <c r="AX30" s="19" t="s">
        <v>1508</v>
      </c>
      <c r="AY30" s="19" t="s">
        <v>121</v>
      </c>
      <c r="AZ30" s="19" t="s">
        <v>1159</v>
      </c>
      <c r="BA30" s="19" t="s">
        <v>1158</v>
      </c>
    </row>
    <row r="31" spans="1:53">
      <c r="A31" s="15" t="s">
        <v>14</v>
      </c>
      <c r="B31" s="2" t="s">
        <v>1509</v>
      </c>
      <c r="C31" s="2" t="s">
        <v>77</v>
      </c>
      <c r="D31" s="2" t="s">
        <v>1510</v>
      </c>
      <c r="E31" s="2" t="s">
        <v>77</v>
      </c>
      <c r="F31" s="2" t="s">
        <v>1511</v>
      </c>
      <c r="G31" s="2" t="s">
        <v>77</v>
      </c>
      <c r="H31" s="2" t="s">
        <v>1512</v>
      </c>
      <c r="I31" s="2" t="s">
        <v>77</v>
      </c>
      <c r="J31" s="2" t="s">
        <v>1513</v>
      </c>
      <c r="K31" s="2" t="s">
        <v>77</v>
      </c>
      <c r="L31" s="2" t="s">
        <v>1514</v>
      </c>
      <c r="M31" s="2" t="s">
        <v>77</v>
      </c>
      <c r="N31" s="2" t="s">
        <v>1515</v>
      </c>
      <c r="O31" s="2" t="s">
        <v>77</v>
      </c>
      <c r="P31" s="2" t="s">
        <v>1516</v>
      </c>
      <c r="Q31" s="2" t="s">
        <v>77</v>
      </c>
      <c r="R31" s="2" t="s">
        <v>1517</v>
      </c>
      <c r="S31" s="2" t="s">
        <v>77</v>
      </c>
      <c r="T31" s="2" t="s">
        <v>1518</v>
      </c>
      <c r="U31" s="2" t="s">
        <v>84</v>
      </c>
      <c r="V31" s="19" t="s">
        <v>1519</v>
      </c>
      <c r="W31" s="19" t="s">
        <v>77</v>
      </c>
      <c r="X31" s="19" t="s">
        <v>1520</v>
      </c>
      <c r="Y31" s="19" t="s">
        <v>77</v>
      </c>
      <c r="Z31" s="19" t="s">
        <v>1521</v>
      </c>
      <c r="AA31" s="19" t="s">
        <v>77</v>
      </c>
      <c r="AB31" s="19" t="s">
        <v>1522</v>
      </c>
      <c r="AC31" s="19" t="s">
        <v>77</v>
      </c>
      <c r="AD31" s="19" t="s">
        <v>1523</v>
      </c>
      <c r="AE31" s="19" t="s">
        <v>77</v>
      </c>
      <c r="AF31" s="19" t="s">
        <v>1524</v>
      </c>
      <c r="AG31" s="19" t="s">
        <v>77</v>
      </c>
      <c r="AH31" s="19" t="s">
        <v>1525</v>
      </c>
      <c r="AI31" s="19" t="s">
        <v>77</v>
      </c>
      <c r="AJ31" s="19" t="s">
        <v>1526</v>
      </c>
      <c r="AK31" s="19" t="s">
        <v>77</v>
      </c>
      <c r="AL31" s="19" t="s">
        <v>1527</v>
      </c>
      <c r="AM31" s="19" t="s">
        <v>77</v>
      </c>
      <c r="AN31" s="19" t="s">
        <v>1528</v>
      </c>
      <c r="AO31" s="19" t="s">
        <v>77</v>
      </c>
      <c r="AP31" s="19" t="s">
        <v>1529</v>
      </c>
      <c r="AQ31" s="19" t="s">
        <v>77</v>
      </c>
      <c r="AR31" s="19" t="s">
        <v>1164</v>
      </c>
      <c r="AS31" s="19" t="s">
        <v>77</v>
      </c>
      <c r="AT31" s="19" t="s">
        <v>1530</v>
      </c>
      <c r="AU31" s="19" t="s">
        <v>77</v>
      </c>
      <c r="AV31" s="19" t="s">
        <v>1531</v>
      </c>
      <c r="AW31" s="19" t="s">
        <v>77</v>
      </c>
      <c r="AX31" s="19" t="s">
        <v>1532</v>
      </c>
      <c r="AY31" s="19" t="s">
        <v>77</v>
      </c>
      <c r="AZ31" s="19" t="s">
        <v>1165</v>
      </c>
      <c r="BA31" s="19" t="s">
        <v>84</v>
      </c>
    </row>
    <row r="32" spans="1:53">
      <c r="A32" s="15" t="s">
        <v>21</v>
      </c>
      <c r="B32" s="2" t="s">
        <v>1533</v>
      </c>
      <c r="C32" s="2" t="s">
        <v>127</v>
      </c>
      <c r="D32" s="2" t="s">
        <v>1534</v>
      </c>
      <c r="E32" s="2" t="s">
        <v>958</v>
      </c>
      <c r="F32" s="2" t="s">
        <v>1535</v>
      </c>
      <c r="G32" s="2" t="s">
        <v>546</v>
      </c>
      <c r="H32" s="2" t="s">
        <v>1536</v>
      </c>
      <c r="I32" s="2" t="s">
        <v>954</v>
      </c>
      <c r="J32" s="2" t="s">
        <v>1537</v>
      </c>
      <c r="K32" s="2" t="s">
        <v>897</v>
      </c>
      <c r="L32" s="2" t="s">
        <v>1538</v>
      </c>
      <c r="M32" s="2" t="s">
        <v>82</v>
      </c>
      <c r="N32" s="2" t="s">
        <v>1539</v>
      </c>
      <c r="O32" s="2" t="s">
        <v>1156</v>
      </c>
      <c r="P32" s="2" t="s">
        <v>1540</v>
      </c>
      <c r="Q32" s="2" t="s">
        <v>901</v>
      </c>
      <c r="R32" s="2" t="s">
        <v>1541</v>
      </c>
      <c r="S32" s="2" t="s">
        <v>897</v>
      </c>
      <c r="T32" s="2" t="s">
        <v>1542</v>
      </c>
      <c r="U32" s="2" t="s">
        <v>1095</v>
      </c>
      <c r="V32" s="19" t="s">
        <v>1543</v>
      </c>
      <c r="W32" s="19" t="s">
        <v>546</v>
      </c>
      <c r="X32" s="19" t="s">
        <v>1544</v>
      </c>
      <c r="Y32" s="19" t="s">
        <v>82</v>
      </c>
      <c r="Z32" s="19" t="s">
        <v>1545</v>
      </c>
      <c r="AA32" s="19" t="s">
        <v>371</v>
      </c>
      <c r="AB32" s="19" t="s">
        <v>1546</v>
      </c>
      <c r="AC32" s="19" t="s">
        <v>546</v>
      </c>
      <c r="AD32" s="19" t="s">
        <v>1547</v>
      </c>
      <c r="AE32" s="19" t="s">
        <v>127</v>
      </c>
      <c r="AF32" s="19" t="s">
        <v>1548</v>
      </c>
      <c r="AG32" s="19" t="s">
        <v>1273</v>
      </c>
      <c r="AH32" s="19" t="s">
        <v>1549</v>
      </c>
      <c r="AI32" s="19" t="s">
        <v>80</v>
      </c>
      <c r="AJ32" s="19" t="s">
        <v>1550</v>
      </c>
      <c r="AK32" s="19" t="s">
        <v>82</v>
      </c>
      <c r="AL32" s="19" t="s">
        <v>1551</v>
      </c>
      <c r="AM32" s="19" t="s">
        <v>892</v>
      </c>
      <c r="AN32" s="19" t="s">
        <v>1552</v>
      </c>
      <c r="AO32" s="19" t="s">
        <v>151</v>
      </c>
      <c r="AP32" s="19" t="s">
        <v>1553</v>
      </c>
      <c r="AQ32" s="19" t="s">
        <v>82</v>
      </c>
      <c r="AR32" s="19" t="s">
        <v>1170</v>
      </c>
      <c r="AS32" s="19" t="s">
        <v>308</v>
      </c>
      <c r="AT32" s="19" t="s">
        <v>1554</v>
      </c>
      <c r="AU32" s="19" t="s">
        <v>371</v>
      </c>
      <c r="AV32" s="19" t="s">
        <v>1555</v>
      </c>
      <c r="AW32" s="19" t="s">
        <v>371</v>
      </c>
      <c r="AX32" s="19" t="s">
        <v>1556</v>
      </c>
      <c r="AY32" s="19" t="s">
        <v>82</v>
      </c>
      <c r="AZ32" s="19" t="s">
        <v>1171</v>
      </c>
      <c r="BA32" s="19" t="s">
        <v>82</v>
      </c>
    </row>
    <row r="33" spans="1:53">
      <c r="A33" s="15" t="s">
        <v>28</v>
      </c>
      <c r="B33" s="2" t="s">
        <v>1557</v>
      </c>
      <c r="C33" s="2" t="s">
        <v>84</v>
      </c>
      <c r="D33" s="2" t="s">
        <v>1558</v>
      </c>
      <c r="E33" s="2" t="s">
        <v>77</v>
      </c>
      <c r="F33" s="2" t="s">
        <v>1559</v>
      </c>
      <c r="G33" s="2" t="s">
        <v>84</v>
      </c>
      <c r="H33" s="2" t="s">
        <v>1560</v>
      </c>
      <c r="I33" s="2" t="s">
        <v>77</v>
      </c>
      <c r="J33" s="2" t="s">
        <v>1561</v>
      </c>
      <c r="K33" s="2" t="s">
        <v>77</v>
      </c>
      <c r="L33" s="2" t="s">
        <v>1562</v>
      </c>
      <c r="M33" s="2" t="s">
        <v>84</v>
      </c>
      <c r="N33" s="2" t="s">
        <v>1563</v>
      </c>
      <c r="O33" s="2" t="s">
        <v>77</v>
      </c>
      <c r="P33" s="2" t="s">
        <v>1564</v>
      </c>
      <c r="Q33" s="2" t="s">
        <v>77</v>
      </c>
      <c r="R33" s="2" t="s">
        <v>1565</v>
      </c>
      <c r="S33" s="2" t="s">
        <v>84</v>
      </c>
      <c r="T33" s="2" t="s">
        <v>1566</v>
      </c>
      <c r="U33" s="2" t="s">
        <v>84</v>
      </c>
      <c r="V33" s="19" t="s">
        <v>1567</v>
      </c>
      <c r="W33" s="19" t="s">
        <v>84</v>
      </c>
      <c r="X33" s="19" t="s">
        <v>1568</v>
      </c>
      <c r="Y33" s="19" t="s">
        <v>84</v>
      </c>
      <c r="Z33" s="19" t="s">
        <v>1569</v>
      </c>
      <c r="AA33" s="19" t="s">
        <v>84</v>
      </c>
      <c r="AB33" s="19" t="s">
        <v>1570</v>
      </c>
      <c r="AC33" s="19" t="s">
        <v>77</v>
      </c>
      <c r="AD33" s="19" t="s">
        <v>1571</v>
      </c>
      <c r="AE33" s="19" t="s">
        <v>84</v>
      </c>
      <c r="AF33" s="19" t="s">
        <v>1572</v>
      </c>
      <c r="AG33" s="19" t="s">
        <v>77</v>
      </c>
      <c r="AH33" s="19" t="s">
        <v>1573</v>
      </c>
      <c r="AI33" s="19" t="s">
        <v>84</v>
      </c>
      <c r="AJ33" s="19" t="s">
        <v>1574</v>
      </c>
      <c r="AK33" s="19" t="s">
        <v>84</v>
      </c>
      <c r="AL33" s="19" t="s">
        <v>1575</v>
      </c>
      <c r="AM33" s="19" t="s">
        <v>84</v>
      </c>
      <c r="AN33" s="19" t="s">
        <v>1576</v>
      </c>
      <c r="AO33" s="19" t="s">
        <v>77</v>
      </c>
      <c r="AP33" s="19" t="s">
        <v>1577</v>
      </c>
      <c r="AQ33" s="19" t="s">
        <v>84</v>
      </c>
      <c r="AR33" s="19" t="s">
        <v>1176</v>
      </c>
      <c r="AS33" s="19" t="s">
        <v>84</v>
      </c>
      <c r="AT33" s="19" t="s">
        <v>1578</v>
      </c>
      <c r="AU33" s="19" t="s">
        <v>84</v>
      </c>
      <c r="AV33" s="19" t="s">
        <v>1579</v>
      </c>
      <c r="AW33" s="19" t="s">
        <v>84</v>
      </c>
      <c r="AX33" s="19" t="s">
        <v>1580</v>
      </c>
      <c r="AY33" s="19" t="s">
        <v>84</v>
      </c>
      <c r="AZ33" s="19" t="s">
        <v>1177</v>
      </c>
      <c r="BA33" s="19" t="s">
        <v>84</v>
      </c>
    </row>
  </sheetData>
  <sheetProtection selectLockedCells="1" selectUnlockedCells="1"/>
  <mergeCells count="27">
    <mergeCell ref="J3:K3"/>
    <mergeCell ref="A1:E1"/>
    <mergeCell ref="B3:C3"/>
    <mergeCell ref="D3:E3"/>
    <mergeCell ref="F3:G3"/>
    <mergeCell ref="H3:I3"/>
    <mergeCell ref="AH3:AI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  <mergeCell ref="AV3:AW3"/>
    <mergeCell ref="AX3:AY3"/>
    <mergeCell ref="AZ3:BA3"/>
    <mergeCell ref="AJ3:AK3"/>
    <mergeCell ref="AL3:AM3"/>
    <mergeCell ref="AN3:AO3"/>
    <mergeCell ref="AP3:AQ3"/>
    <mergeCell ref="AR3:AS3"/>
    <mergeCell ref="AT3:AU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3.2"/>
  <cols>
    <col min="1" max="1" width="51.109375" style="1" customWidth="1"/>
    <col min="2" max="2" width="9.77734375" style="2" customWidth="1"/>
    <col min="3" max="3" width="7.6640625" style="2" customWidth="1"/>
    <col min="4" max="4" width="9.77734375" style="2" customWidth="1"/>
    <col min="5" max="5" width="7.6640625" style="2" customWidth="1"/>
    <col min="6" max="6" width="9.77734375" style="2" customWidth="1"/>
    <col min="7" max="7" width="7.6640625" style="2" customWidth="1"/>
    <col min="8" max="8" width="9.77734375" style="2" customWidth="1"/>
    <col min="9" max="9" width="7.6640625" style="2" customWidth="1"/>
    <col min="10" max="10" width="9.77734375" style="2" customWidth="1"/>
    <col min="11" max="11" width="7.6640625" style="2" customWidth="1"/>
    <col min="12" max="12" width="9.77734375" style="2" customWidth="1"/>
    <col min="13" max="13" width="7.6640625" style="2" customWidth="1"/>
    <col min="14" max="14" width="9.77734375" style="2" customWidth="1"/>
    <col min="15" max="15" width="7.6640625" style="2" customWidth="1"/>
    <col min="16" max="16" width="9.77734375" style="2" customWidth="1"/>
    <col min="17" max="17" width="7.6640625" style="2" customWidth="1"/>
    <col min="18" max="18" width="9.77734375" style="2" customWidth="1"/>
    <col min="19" max="19" width="7.6640625" style="2" customWidth="1"/>
    <col min="20" max="20" width="9.77734375" style="2" customWidth="1"/>
    <col min="21" max="21" width="7.6640625" style="2" customWidth="1"/>
    <col min="22" max="22" width="9.77734375" style="2" customWidth="1"/>
    <col min="23" max="23" width="7.6640625" style="2" customWidth="1"/>
    <col min="24" max="256" width="9.77734375" style="2" customWidth="1"/>
    <col min="257" max="16384" width="11.5546875" style="2"/>
  </cols>
  <sheetData>
    <row r="1" spans="1:23">
      <c r="A1" s="42" t="s">
        <v>1581</v>
      </c>
      <c r="B1" s="42"/>
      <c r="C1" s="42"/>
      <c r="D1" s="42"/>
      <c r="E1" s="42"/>
    </row>
    <row r="3" spans="1:23" s="5" customFormat="1">
      <c r="B3" s="41" t="s">
        <v>1246</v>
      </c>
      <c r="C3" s="41"/>
      <c r="D3" s="41" t="s">
        <v>1248</v>
      </c>
      <c r="E3" s="41"/>
      <c r="F3" s="41" t="s">
        <v>1249</v>
      </c>
      <c r="G3" s="41"/>
      <c r="H3" s="41" t="s">
        <v>1251</v>
      </c>
      <c r="I3" s="41"/>
      <c r="J3" s="41" t="s">
        <v>1252</v>
      </c>
      <c r="K3" s="41"/>
      <c r="L3" s="41" t="s">
        <v>1254</v>
      </c>
      <c r="M3" s="41"/>
      <c r="N3" s="41" t="s">
        <v>1257</v>
      </c>
      <c r="O3" s="41"/>
      <c r="P3" s="41" t="s">
        <v>1258</v>
      </c>
      <c r="Q3" s="41"/>
      <c r="R3" s="41" t="s">
        <v>1260</v>
      </c>
      <c r="S3" s="41"/>
      <c r="T3" s="41" t="s">
        <v>1263</v>
      </c>
      <c r="U3" s="41"/>
      <c r="V3" s="41" t="s">
        <v>1267</v>
      </c>
      <c r="W3" s="41"/>
    </row>
    <row r="4" spans="1:23">
      <c r="A4" s="1" t="s">
        <v>4</v>
      </c>
      <c r="B4" s="2">
        <v>7037</v>
      </c>
      <c r="D4" s="2">
        <v>7229</v>
      </c>
      <c r="F4" s="2">
        <v>7058</v>
      </c>
      <c r="H4" s="2">
        <v>7169</v>
      </c>
      <c r="J4" s="2">
        <v>6885</v>
      </c>
      <c r="L4" s="2">
        <v>7177</v>
      </c>
      <c r="N4" s="2">
        <v>7188</v>
      </c>
      <c r="P4" s="2">
        <v>7052</v>
      </c>
      <c r="R4" s="2">
        <v>7204</v>
      </c>
      <c r="T4" s="2">
        <v>7161</v>
      </c>
      <c r="V4" s="2">
        <v>7176</v>
      </c>
    </row>
    <row r="5" spans="1:23">
      <c r="A5" s="1" t="s">
        <v>5</v>
      </c>
      <c r="B5" s="2">
        <v>39616</v>
      </c>
      <c r="D5" s="2">
        <v>40416</v>
      </c>
      <c r="F5" s="2">
        <v>39461</v>
      </c>
      <c r="H5" s="2">
        <v>40191</v>
      </c>
      <c r="J5" s="2">
        <v>38689</v>
      </c>
      <c r="L5" s="2">
        <v>39967</v>
      </c>
      <c r="N5" s="2">
        <v>40486</v>
      </c>
      <c r="P5" s="2">
        <v>39666</v>
      </c>
      <c r="R5" s="2">
        <v>40397</v>
      </c>
      <c r="T5" s="2">
        <v>40223</v>
      </c>
      <c r="V5" s="2">
        <v>40511</v>
      </c>
    </row>
    <row r="6" spans="1:23">
      <c r="A6" s="1" t="s">
        <v>6</v>
      </c>
      <c r="B6" s="2">
        <v>32396</v>
      </c>
      <c r="D6" s="2">
        <v>32952</v>
      </c>
      <c r="F6" s="2">
        <v>32255</v>
      </c>
      <c r="H6" s="2">
        <v>32808</v>
      </c>
      <c r="J6" s="2">
        <v>31697</v>
      </c>
      <c r="L6" s="2">
        <v>32589</v>
      </c>
      <c r="N6" s="2">
        <v>33047</v>
      </c>
      <c r="P6" s="2">
        <v>32432</v>
      </c>
      <c r="R6" s="2">
        <v>32953</v>
      </c>
      <c r="T6" s="2">
        <v>32833</v>
      </c>
      <c r="V6" s="2">
        <v>33078</v>
      </c>
    </row>
    <row r="8" spans="1:23">
      <c r="A8" s="1" t="s">
        <v>7</v>
      </c>
      <c r="B8" s="2" t="s">
        <v>1582</v>
      </c>
      <c r="C8" s="2" t="s">
        <v>666</v>
      </c>
      <c r="D8" s="2" t="s">
        <v>1583</v>
      </c>
      <c r="E8" s="2" t="s">
        <v>1273</v>
      </c>
      <c r="F8" s="2" t="s">
        <v>1584</v>
      </c>
      <c r="G8" s="2" t="s">
        <v>90</v>
      </c>
      <c r="H8" s="2" t="s">
        <v>1585</v>
      </c>
      <c r="I8" s="2" t="s">
        <v>366</v>
      </c>
      <c r="J8" s="2" t="s">
        <v>1586</v>
      </c>
      <c r="K8" s="2" t="s">
        <v>16</v>
      </c>
      <c r="L8" s="2" t="s">
        <v>1587</v>
      </c>
      <c r="M8" s="2" t="s">
        <v>158</v>
      </c>
      <c r="N8" s="2" t="s">
        <v>1588</v>
      </c>
      <c r="O8" s="2" t="s">
        <v>901</v>
      </c>
      <c r="P8" s="2" t="s">
        <v>1589</v>
      </c>
      <c r="Q8" s="2" t="s">
        <v>201</v>
      </c>
      <c r="R8" s="2" t="s">
        <v>1583</v>
      </c>
      <c r="S8" s="2" t="s">
        <v>1273</v>
      </c>
      <c r="T8" s="2" t="s">
        <v>1590</v>
      </c>
      <c r="U8" s="2" t="s">
        <v>958</v>
      </c>
      <c r="V8" s="2" t="s">
        <v>1185</v>
      </c>
      <c r="W8" s="2" t="s">
        <v>151</v>
      </c>
    </row>
    <row r="9" spans="1:23">
      <c r="A9" s="1" t="s">
        <v>14</v>
      </c>
      <c r="B9" s="2" t="s">
        <v>1591</v>
      </c>
      <c r="C9" s="2" t="s">
        <v>1191</v>
      </c>
      <c r="D9" s="2" t="s">
        <v>1592</v>
      </c>
      <c r="E9" s="2" t="s">
        <v>1188</v>
      </c>
      <c r="F9" s="2" t="s">
        <v>1593</v>
      </c>
      <c r="G9" s="2" t="s">
        <v>107</v>
      </c>
      <c r="H9" s="2" t="s">
        <v>1594</v>
      </c>
      <c r="I9" s="2" t="s">
        <v>1191</v>
      </c>
      <c r="J9" s="2" t="s">
        <v>1595</v>
      </c>
      <c r="K9" s="2" t="s">
        <v>225</v>
      </c>
      <c r="L9" s="2" t="s">
        <v>1596</v>
      </c>
      <c r="M9" s="2" t="s">
        <v>1191</v>
      </c>
      <c r="N9" s="2" t="s">
        <v>1597</v>
      </c>
      <c r="O9" s="2" t="s">
        <v>1191</v>
      </c>
      <c r="P9" s="2" t="s">
        <v>1598</v>
      </c>
      <c r="Q9" s="2" t="s">
        <v>107</v>
      </c>
      <c r="R9" s="2" t="s">
        <v>1599</v>
      </c>
      <c r="S9" s="2" t="s">
        <v>1188</v>
      </c>
      <c r="T9" s="2" t="s">
        <v>1600</v>
      </c>
      <c r="U9" s="2" t="s">
        <v>1191</v>
      </c>
      <c r="V9" s="2" t="s">
        <v>1190</v>
      </c>
      <c r="W9" s="2" t="s">
        <v>1191</v>
      </c>
    </row>
    <row r="10" spans="1:23">
      <c r="A10" s="1" t="s">
        <v>21</v>
      </c>
      <c r="B10" s="2" t="s">
        <v>1601</v>
      </c>
      <c r="C10" s="2" t="s">
        <v>976</v>
      </c>
      <c r="D10" s="2" t="s">
        <v>1602</v>
      </c>
      <c r="E10" s="2" t="s">
        <v>455</v>
      </c>
      <c r="F10" s="2" t="s">
        <v>1603</v>
      </c>
      <c r="G10" s="2" t="s">
        <v>111</v>
      </c>
      <c r="H10" s="2" t="s">
        <v>1604</v>
      </c>
      <c r="I10" s="2" t="s">
        <v>1339</v>
      </c>
      <c r="J10" s="2" t="s">
        <v>1605</v>
      </c>
      <c r="K10" s="2" t="s">
        <v>238</v>
      </c>
      <c r="L10" s="2" t="s">
        <v>1606</v>
      </c>
      <c r="M10" s="2" t="s">
        <v>446</v>
      </c>
      <c r="N10" s="2" t="s">
        <v>1607</v>
      </c>
      <c r="O10" s="2" t="s">
        <v>101</v>
      </c>
      <c r="P10" s="2" t="s">
        <v>1608</v>
      </c>
      <c r="Q10" s="2" t="s">
        <v>16</v>
      </c>
      <c r="R10" s="2" t="s">
        <v>1609</v>
      </c>
      <c r="S10" s="2" t="s">
        <v>119</v>
      </c>
      <c r="T10" s="2" t="s">
        <v>1610</v>
      </c>
      <c r="U10" s="2" t="s">
        <v>453</v>
      </c>
      <c r="V10" s="2" t="s">
        <v>1196</v>
      </c>
      <c r="W10" s="2" t="s">
        <v>666</v>
      </c>
    </row>
    <row r="11" spans="1:23">
      <c r="A11" s="1" t="s">
        <v>28</v>
      </c>
      <c r="B11" s="2" t="s">
        <v>1611</v>
      </c>
      <c r="C11" s="2" t="s">
        <v>115</v>
      </c>
      <c r="D11" s="2" t="s">
        <v>1612</v>
      </c>
      <c r="E11" s="2" t="s">
        <v>115</v>
      </c>
      <c r="F11" s="2" t="s">
        <v>1613</v>
      </c>
      <c r="G11" s="2" t="s">
        <v>115</v>
      </c>
      <c r="H11" s="2" t="s">
        <v>1614</v>
      </c>
      <c r="I11" s="2" t="s">
        <v>115</v>
      </c>
      <c r="J11" s="2" t="s">
        <v>1615</v>
      </c>
      <c r="K11" s="2" t="s">
        <v>115</v>
      </c>
      <c r="L11" s="2" t="s">
        <v>1616</v>
      </c>
      <c r="M11" s="2" t="s">
        <v>115</v>
      </c>
      <c r="N11" s="2" t="s">
        <v>1617</v>
      </c>
      <c r="O11" s="2" t="s">
        <v>115</v>
      </c>
      <c r="P11" s="2" t="s">
        <v>1618</v>
      </c>
      <c r="Q11" s="2" t="s">
        <v>115</v>
      </c>
      <c r="R11" s="2" t="s">
        <v>1619</v>
      </c>
      <c r="S11" s="2" t="s">
        <v>115</v>
      </c>
      <c r="T11" s="2" t="s">
        <v>1620</v>
      </c>
      <c r="U11" s="2" t="s">
        <v>115</v>
      </c>
      <c r="V11" s="2" t="s">
        <v>1200</v>
      </c>
      <c r="W11" s="2" t="s">
        <v>115</v>
      </c>
    </row>
    <row r="12" spans="1:23">
      <c r="A12" s="1" t="s">
        <v>34</v>
      </c>
      <c r="B12" s="2" t="s">
        <v>1621</v>
      </c>
      <c r="C12" s="2" t="s">
        <v>121</v>
      </c>
      <c r="D12" s="2" t="s">
        <v>1622</v>
      </c>
      <c r="E12" s="2" t="s">
        <v>1623</v>
      </c>
      <c r="F12" s="2" t="s">
        <v>120</v>
      </c>
      <c r="G12" s="2" t="s">
        <v>121</v>
      </c>
      <c r="H12" s="2" t="s">
        <v>1624</v>
      </c>
      <c r="I12" s="2" t="s">
        <v>1392</v>
      </c>
      <c r="J12" s="2" t="s">
        <v>1625</v>
      </c>
      <c r="K12" s="2" t="s">
        <v>278</v>
      </c>
      <c r="L12" s="2" t="s">
        <v>1626</v>
      </c>
      <c r="M12" s="2" t="s">
        <v>1394</v>
      </c>
      <c r="N12" s="2" t="s">
        <v>1627</v>
      </c>
      <c r="O12" s="2" t="s">
        <v>1206</v>
      </c>
      <c r="P12" s="2" t="s">
        <v>120</v>
      </c>
      <c r="Q12" s="2" t="s">
        <v>121</v>
      </c>
      <c r="R12" s="2" t="s">
        <v>1628</v>
      </c>
      <c r="S12" s="2" t="s">
        <v>1206</v>
      </c>
      <c r="T12" s="2" t="s">
        <v>1629</v>
      </c>
      <c r="U12" s="2" t="s">
        <v>1392</v>
      </c>
      <c r="V12" s="2" t="s">
        <v>1205</v>
      </c>
      <c r="W12" s="2" t="s">
        <v>1206</v>
      </c>
    </row>
    <row r="13" spans="1:23">
      <c r="A13" s="1" t="s">
        <v>40</v>
      </c>
      <c r="B13" s="2" t="s">
        <v>1630</v>
      </c>
      <c r="C13" s="2" t="s">
        <v>546</v>
      </c>
      <c r="D13" s="2" t="s">
        <v>1631</v>
      </c>
      <c r="E13" s="2" t="s">
        <v>954</v>
      </c>
      <c r="F13" s="2" t="s">
        <v>1632</v>
      </c>
      <c r="G13" s="2" t="s">
        <v>1156</v>
      </c>
      <c r="H13" s="2" t="s">
        <v>1633</v>
      </c>
      <c r="I13" s="2" t="s">
        <v>151</v>
      </c>
      <c r="J13" s="2" t="s">
        <v>1634</v>
      </c>
      <c r="K13" s="2" t="s">
        <v>537</v>
      </c>
      <c r="L13" s="2" t="s">
        <v>1635</v>
      </c>
      <c r="M13" s="2" t="s">
        <v>897</v>
      </c>
      <c r="N13" s="2" t="s">
        <v>1636</v>
      </c>
      <c r="O13" s="2" t="s">
        <v>1273</v>
      </c>
      <c r="P13" s="2" t="s">
        <v>1637</v>
      </c>
      <c r="Q13" s="2" t="s">
        <v>1156</v>
      </c>
      <c r="R13" s="2" t="s">
        <v>1638</v>
      </c>
      <c r="S13" s="2" t="s">
        <v>1273</v>
      </c>
      <c r="T13" s="2" t="s">
        <v>1639</v>
      </c>
      <c r="U13" s="2" t="s">
        <v>151</v>
      </c>
      <c r="V13" s="2" t="s">
        <v>1210</v>
      </c>
      <c r="W13" s="2" t="s">
        <v>901</v>
      </c>
    </row>
    <row r="15" spans="1:23">
      <c r="A15" s="1" t="s">
        <v>47</v>
      </c>
      <c r="B15" s="2">
        <v>4619</v>
      </c>
      <c r="D15" s="2">
        <v>4821</v>
      </c>
      <c r="F15" s="2">
        <v>4576</v>
      </c>
      <c r="H15" s="2">
        <v>4739</v>
      </c>
      <c r="J15" s="2">
        <v>4347</v>
      </c>
      <c r="L15" s="2">
        <v>4664</v>
      </c>
      <c r="N15" s="2">
        <v>4855</v>
      </c>
      <c r="P15" s="2">
        <v>4664</v>
      </c>
      <c r="R15" s="2">
        <v>4835</v>
      </c>
      <c r="T15" s="2">
        <v>4760</v>
      </c>
      <c r="V15" s="2">
        <v>4869</v>
      </c>
    </row>
    <row r="16" spans="1:23">
      <c r="A16" s="1" t="s">
        <v>48</v>
      </c>
      <c r="B16" s="2" t="s">
        <v>1640</v>
      </c>
      <c r="C16" s="10" t="s">
        <v>1641</v>
      </c>
      <c r="D16" s="2" t="s">
        <v>1642</v>
      </c>
      <c r="E16" s="10" t="s">
        <v>1643</v>
      </c>
      <c r="F16" s="2" t="s">
        <v>1644</v>
      </c>
      <c r="G16" s="10" t="s">
        <v>1645</v>
      </c>
      <c r="H16" s="2" t="s">
        <v>1646</v>
      </c>
      <c r="I16" s="10" t="s">
        <v>1431</v>
      </c>
      <c r="J16" s="2" t="s">
        <v>1647</v>
      </c>
      <c r="K16" s="10" t="s">
        <v>1648</v>
      </c>
      <c r="L16" s="2" t="s">
        <v>1649</v>
      </c>
      <c r="M16" s="10">
        <v>0.65</v>
      </c>
      <c r="N16" s="2" t="s">
        <v>1650</v>
      </c>
      <c r="O16" s="10" t="s">
        <v>330</v>
      </c>
      <c r="P16" s="2" t="s">
        <v>1651</v>
      </c>
      <c r="Q16" s="10" t="s">
        <v>1431</v>
      </c>
      <c r="R16" s="2" t="s">
        <v>1652</v>
      </c>
      <c r="S16" s="10" t="s">
        <v>1653</v>
      </c>
      <c r="T16" s="2" t="s">
        <v>1654</v>
      </c>
      <c r="U16" s="10" t="s">
        <v>61</v>
      </c>
      <c r="V16" s="2" t="s">
        <v>1214</v>
      </c>
      <c r="W16" s="10" t="s">
        <v>595</v>
      </c>
    </row>
    <row r="17" spans="1:23">
      <c r="A17" s="1" t="s">
        <v>1215</v>
      </c>
      <c r="B17" s="2" t="s">
        <v>1655</v>
      </c>
      <c r="C17" s="10" t="s">
        <v>1218</v>
      </c>
      <c r="D17" s="2" t="s">
        <v>1656</v>
      </c>
      <c r="E17" s="10" t="s">
        <v>1657</v>
      </c>
      <c r="F17" s="2" t="s">
        <v>1658</v>
      </c>
      <c r="G17" s="10" t="s">
        <v>331</v>
      </c>
      <c r="H17" s="2" t="s">
        <v>1659</v>
      </c>
      <c r="I17" s="10" t="s">
        <v>622</v>
      </c>
      <c r="J17" s="2" t="s">
        <v>1660</v>
      </c>
      <c r="K17" s="10" t="s">
        <v>340</v>
      </c>
      <c r="L17" s="2" t="s">
        <v>1661</v>
      </c>
      <c r="M17" s="10" t="s">
        <v>616</v>
      </c>
      <c r="N17" s="2" t="s">
        <v>1662</v>
      </c>
      <c r="O17" s="10" t="s">
        <v>1436</v>
      </c>
      <c r="P17" s="2" t="s">
        <v>1661</v>
      </c>
      <c r="Q17" s="10" t="s">
        <v>616</v>
      </c>
      <c r="R17" s="2" t="s">
        <v>1663</v>
      </c>
      <c r="S17" s="10" t="s">
        <v>1664</v>
      </c>
      <c r="T17" s="2" t="s">
        <v>1665</v>
      </c>
      <c r="U17" s="10" t="s">
        <v>1666</v>
      </c>
      <c r="V17" s="2" t="s">
        <v>1221</v>
      </c>
      <c r="W17" s="10" t="s">
        <v>1222</v>
      </c>
    </row>
    <row r="18" spans="1:23">
      <c r="A18" s="1" t="s">
        <v>599</v>
      </c>
      <c r="B18" s="2" t="s">
        <v>1667</v>
      </c>
      <c r="C18" s="10" t="s">
        <v>1436</v>
      </c>
      <c r="D18" s="2" t="s">
        <v>1668</v>
      </c>
      <c r="E18" s="10" t="s">
        <v>1141</v>
      </c>
      <c r="F18" s="2" t="s">
        <v>1669</v>
      </c>
      <c r="G18" s="10" t="s">
        <v>1670</v>
      </c>
      <c r="H18" s="2" t="s">
        <v>1671</v>
      </c>
      <c r="I18" s="10" t="s">
        <v>1437</v>
      </c>
      <c r="J18" s="2" t="s">
        <v>1672</v>
      </c>
      <c r="K18" s="10" t="s">
        <v>1432</v>
      </c>
      <c r="L18" s="2" t="s">
        <v>1673</v>
      </c>
      <c r="M18" s="10" t="s">
        <v>1222</v>
      </c>
      <c r="N18" s="2" t="s">
        <v>1674</v>
      </c>
      <c r="O18" s="10">
        <v>0.76</v>
      </c>
      <c r="P18" s="2" t="s">
        <v>1675</v>
      </c>
      <c r="Q18" s="10" t="s">
        <v>1444</v>
      </c>
      <c r="R18" s="2" t="s">
        <v>1676</v>
      </c>
      <c r="S18" s="10" t="s">
        <v>1451</v>
      </c>
      <c r="T18" s="2" t="s">
        <v>1677</v>
      </c>
      <c r="U18" s="10" t="s">
        <v>1678</v>
      </c>
      <c r="V18" s="2" t="s">
        <v>1227</v>
      </c>
      <c r="W18" s="10" t="s">
        <v>1228</v>
      </c>
    </row>
    <row r="21" spans="1:23">
      <c r="A21" s="1" t="s">
        <v>69</v>
      </c>
    </row>
    <row r="23" spans="1:23">
      <c r="A23" s="1" t="s">
        <v>70</v>
      </c>
      <c r="B23" s="2">
        <v>6542</v>
      </c>
      <c r="D23" s="2">
        <v>6662</v>
      </c>
      <c r="F23" s="2">
        <v>6560</v>
      </c>
      <c r="H23" s="2">
        <v>6642</v>
      </c>
      <c r="J23" s="2">
        <v>6454</v>
      </c>
      <c r="L23" s="2">
        <v>6651</v>
      </c>
      <c r="N23" s="2">
        <v>6641</v>
      </c>
      <c r="P23" s="2">
        <v>6554</v>
      </c>
      <c r="R23" s="2">
        <v>6658</v>
      </c>
      <c r="T23" s="2">
        <v>6634</v>
      </c>
      <c r="V23" s="2">
        <v>6639</v>
      </c>
    </row>
    <row r="24" spans="1:23">
      <c r="A24" s="1" t="s">
        <v>71</v>
      </c>
      <c r="B24" s="2">
        <v>6323</v>
      </c>
      <c r="D24" s="2">
        <v>6392</v>
      </c>
      <c r="F24" s="2">
        <v>6321</v>
      </c>
      <c r="H24" s="2">
        <v>6374</v>
      </c>
      <c r="J24" s="2">
        <v>6238</v>
      </c>
      <c r="L24" s="2">
        <v>6366</v>
      </c>
      <c r="N24" s="2">
        <v>6387</v>
      </c>
      <c r="P24" s="2">
        <v>6321</v>
      </c>
      <c r="R24" s="2">
        <v>6389</v>
      </c>
      <c r="T24" s="2">
        <v>6372</v>
      </c>
      <c r="V24" s="2">
        <v>6385</v>
      </c>
    </row>
    <row r="25" spans="1:23">
      <c r="A25" s="1" t="s">
        <v>72</v>
      </c>
      <c r="B25" s="2">
        <v>38773</v>
      </c>
      <c r="D25" s="2">
        <v>39479</v>
      </c>
      <c r="F25" s="2">
        <v>38628</v>
      </c>
      <c r="H25" s="2">
        <v>39308</v>
      </c>
      <c r="J25" s="2">
        <v>37942</v>
      </c>
      <c r="L25" s="2">
        <v>39075</v>
      </c>
      <c r="N25" s="2">
        <v>39582</v>
      </c>
      <c r="P25" s="2">
        <v>38834</v>
      </c>
      <c r="R25" s="2">
        <v>39482</v>
      </c>
      <c r="T25" s="2">
        <v>39344</v>
      </c>
      <c r="V25" s="2">
        <v>39609</v>
      </c>
    </row>
    <row r="26" spans="1:23">
      <c r="A26" s="1" t="s">
        <v>73</v>
      </c>
      <c r="B26" s="2">
        <v>32049</v>
      </c>
      <c r="D26" s="2">
        <v>32584</v>
      </c>
      <c r="F26" s="2">
        <v>31920</v>
      </c>
      <c r="H26" s="2">
        <v>32455</v>
      </c>
      <c r="J26" s="2">
        <v>31382</v>
      </c>
      <c r="L26" s="2">
        <v>32225</v>
      </c>
      <c r="N26" s="2">
        <v>32693</v>
      </c>
      <c r="P26" s="2">
        <v>32099</v>
      </c>
      <c r="R26" s="2">
        <v>32586</v>
      </c>
      <c r="T26" s="2">
        <v>32484</v>
      </c>
      <c r="V26" s="2">
        <v>32716</v>
      </c>
    </row>
    <row r="27" spans="1:23">
      <c r="A27" s="1" t="s">
        <v>74</v>
      </c>
      <c r="B27" s="2">
        <v>41178</v>
      </c>
      <c r="D27" s="2">
        <v>41569</v>
      </c>
      <c r="F27" s="2">
        <v>41176</v>
      </c>
      <c r="H27" s="2">
        <v>41482</v>
      </c>
      <c r="J27" s="2">
        <v>40692</v>
      </c>
      <c r="L27" s="2">
        <v>41409</v>
      </c>
      <c r="N27" s="2">
        <v>41539</v>
      </c>
      <c r="P27" s="2">
        <v>41188</v>
      </c>
      <c r="R27" s="2">
        <v>41554</v>
      </c>
      <c r="T27" s="2">
        <v>41472</v>
      </c>
      <c r="V27" s="2">
        <v>41540</v>
      </c>
    </row>
    <row r="28" spans="1:23">
      <c r="A28" s="1" t="s">
        <v>75</v>
      </c>
      <c r="B28" s="2">
        <v>34767</v>
      </c>
      <c r="D28" s="2">
        <v>35088</v>
      </c>
      <c r="F28" s="2">
        <v>34768</v>
      </c>
      <c r="H28" s="2">
        <v>35020</v>
      </c>
      <c r="J28" s="2">
        <v>34371</v>
      </c>
      <c r="L28" s="2">
        <v>34955</v>
      </c>
      <c r="N28" s="2">
        <v>35063</v>
      </c>
      <c r="P28" s="2">
        <v>34780</v>
      </c>
      <c r="R28" s="2">
        <v>35076</v>
      </c>
      <c r="T28" s="2">
        <v>35012</v>
      </c>
      <c r="V28" s="2">
        <v>35066</v>
      </c>
    </row>
    <row r="30" spans="1:23">
      <c r="A30" s="1" t="s">
        <v>7</v>
      </c>
      <c r="B30" s="2" t="s">
        <v>1679</v>
      </c>
      <c r="C30" s="2" t="s">
        <v>282</v>
      </c>
      <c r="D30" s="2" t="s">
        <v>1680</v>
      </c>
      <c r="E30" s="2" t="s">
        <v>1122</v>
      </c>
      <c r="F30" s="2" t="s">
        <v>1681</v>
      </c>
      <c r="G30" s="2" t="s">
        <v>278</v>
      </c>
      <c r="H30" s="2" t="s">
        <v>1682</v>
      </c>
      <c r="I30" s="2" t="s">
        <v>271</v>
      </c>
      <c r="J30" s="2" t="s">
        <v>1683</v>
      </c>
      <c r="K30" s="2" t="s">
        <v>82</v>
      </c>
      <c r="L30" s="2" t="s">
        <v>1684</v>
      </c>
      <c r="M30" s="2" t="s">
        <v>276</v>
      </c>
      <c r="N30" s="2" t="s">
        <v>1685</v>
      </c>
      <c r="O30" s="2" t="s">
        <v>274</v>
      </c>
      <c r="P30" s="2" t="s">
        <v>1686</v>
      </c>
      <c r="Q30" s="2" t="s">
        <v>280</v>
      </c>
      <c r="R30" s="2" t="s">
        <v>1687</v>
      </c>
      <c r="S30" s="2" t="s">
        <v>1122</v>
      </c>
      <c r="T30" s="2" t="s">
        <v>1688</v>
      </c>
      <c r="U30" s="2" t="s">
        <v>271</v>
      </c>
      <c r="V30" s="2" t="s">
        <v>1232</v>
      </c>
      <c r="W30" s="2" t="s">
        <v>274</v>
      </c>
    </row>
    <row r="31" spans="1:23">
      <c r="A31" s="1" t="s">
        <v>14</v>
      </c>
      <c r="B31" s="2" t="s">
        <v>1689</v>
      </c>
      <c r="C31" s="2" t="s">
        <v>77</v>
      </c>
      <c r="D31" s="2" t="s">
        <v>1690</v>
      </c>
      <c r="E31" s="2" t="s">
        <v>77</v>
      </c>
      <c r="F31" s="2" t="s">
        <v>1691</v>
      </c>
      <c r="G31" s="2" t="s">
        <v>77</v>
      </c>
      <c r="H31" s="2" t="s">
        <v>1692</v>
      </c>
      <c r="I31" s="2" t="s">
        <v>77</v>
      </c>
      <c r="J31" s="2" t="s">
        <v>1693</v>
      </c>
      <c r="K31" s="2" t="s">
        <v>77</v>
      </c>
      <c r="L31" s="2" t="s">
        <v>1694</v>
      </c>
      <c r="M31" s="2" t="s">
        <v>77</v>
      </c>
      <c r="N31" s="2" t="s">
        <v>1695</v>
      </c>
      <c r="O31" s="2" t="s">
        <v>77</v>
      </c>
      <c r="P31" s="2" t="s">
        <v>1696</v>
      </c>
      <c r="Q31" s="2" t="s">
        <v>77</v>
      </c>
      <c r="R31" s="2" t="s">
        <v>1697</v>
      </c>
      <c r="S31" s="2" t="s">
        <v>77</v>
      </c>
      <c r="T31" s="2" t="s">
        <v>1698</v>
      </c>
      <c r="U31" s="2" t="s">
        <v>77</v>
      </c>
      <c r="V31" s="2" t="s">
        <v>1236</v>
      </c>
      <c r="W31" s="2" t="s">
        <v>77</v>
      </c>
    </row>
    <row r="32" spans="1:23">
      <c r="A32" s="1" t="s">
        <v>21</v>
      </c>
      <c r="B32" s="2" t="s">
        <v>1699</v>
      </c>
      <c r="C32" s="2" t="s">
        <v>366</v>
      </c>
      <c r="D32" s="2" t="s">
        <v>1700</v>
      </c>
      <c r="E32" s="2" t="s">
        <v>897</v>
      </c>
      <c r="F32" s="2" t="s">
        <v>1701</v>
      </c>
      <c r="G32" s="2" t="s">
        <v>363</v>
      </c>
      <c r="H32" s="2" t="s">
        <v>1702</v>
      </c>
      <c r="I32" s="2" t="s">
        <v>901</v>
      </c>
      <c r="J32" s="2" t="s">
        <v>1703</v>
      </c>
      <c r="K32" s="2" t="s">
        <v>205</v>
      </c>
      <c r="L32" s="2" t="s">
        <v>1704</v>
      </c>
      <c r="M32" s="2" t="s">
        <v>954</v>
      </c>
      <c r="N32" s="2" t="s">
        <v>1705</v>
      </c>
      <c r="O32" s="2" t="s">
        <v>127</v>
      </c>
      <c r="P32" s="2" t="s">
        <v>1706</v>
      </c>
      <c r="Q32" s="2" t="s">
        <v>958</v>
      </c>
      <c r="R32" s="2" t="s">
        <v>1707</v>
      </c>
      <c r="S32" s="2" t="s">
        <v>892</v>
      </c>
      <c r="T32" s="2" t="s">
        <v>1708</v>
      </c>
      <c r="U32" s="2" t="s">
        <v>897</v>
      </c>
      <c r="V32" s="2" t="s">
        <v>1240</v>
      </c>
      <c r="W32" s="2" t="s">
        <v>127</v>
      </c>
    </row>
    <row r="33" spans="1:23">
      <c r="A33" s="1" t="s">
        <v>28</v>
      </c>
      <c r="B33" s="2" t="s">
        <v>1709</v>
      </c>
      <c r="C33" s="2" t="s">
        <v>94</v>
      </c>
      <c r="D33" s="2" t="s">
        <v>1710</v>
      </c>
      <c r="E33" s="2" t="s">
        <v>84</v>
      </c>
      <c r="F33" s="2" t="s">
        <v>1711</v>
      </c>
      <c r="G33" s="2" t="s">
        <v>94</v>
      </c>
      <c r="H33" s="2" t="s">
        <v>1712</v>
      </c>
      <c r="I33" s="2" t="s">
        <v>84</v>
      </c>
      <c r="J33" s="2" t="s">
        <v>1713</v>
      </c>
      <c r="K33" s="2" t="s">
        <v>94</v>
      </c>
      <c r="L33" s="2" t="s">
        <v>1714</v>
      </c>
      <c r="M33" s="2" t="s">
        <v>84</v>
      </c>
      <c r="N33" s="2" t="s">
        <v>1715</v>
      </c>
      <c r="O33" s="2" t="s">
        <v>94</v>
      </c>
      <c r="P33" s="2" t="s">
        <v>1716</v>
      </c>
      <c r="Q33" s="2" t="s">
        <v>84</v>
      </c>
      <c r="R33" s="2" t="s">
        <v>1717</v>
      </c>
      <c r="S33" s="2" t="s">
        <v>84</v>
      </c>
      <c r="T33" s="2" t="s">
        <v>1718</v>
      </c>
      <c r="U33" s="2" t="s">
        <v>84</v>
      </c>
      <c r="V33" s="2" t="s">
        <v>1244</v>
      </c>
      <c r="W33" s="2" t="s">
        <v>84</v>
      </c>
    </row>
  </sheetData>
  <sheetProtection selectLockedCells="1" selectUnlockedCells="1"/>
  <mergeCells count="12">
    <mergeCell ref="V3:W3"/>
    <mergeCell ref="A1:E1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120" zoomScaleNormal="120"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B4" sqref="B4:R4"/>
    </sheetView>
  </sheetViews>
  <sheetFormatPr baseColWidth="10" defaultRowHeight="13.2"/>
  <cols>
    <col min="1" max="1" width="49.33203125" style="1" customWidth="1"/>
    <col min="2" max="2" width="9.77734375" style="2" customWidth="1"/>
    <col min="3" max="3" width="7.6640625" style="2" customWidth="1"/>
    <col min="4" max="4" width="9.77734375" style="2" customWidth="1"/>
    <col min="5" max="5" width="7.6640625" style="2" customWidth="1"/>
    <col min="6" max="6" width="9.77734375" style="2" customWidth="1"/>
    <col min="7" max="7" width="7.6640625" style="2" customWidth="1"/>
    <col min="8" max="8" width="9.77734375" style="2" customWidth="1"/>
    <col min="9" max="9" width="7.6640625" style="2" customWidth="1"/>
    <col min="10" max="10" width="9.77734375" style="2" customWidth="1"/>
    <col min="11" max="11" width="7.6640625" style="2" customWidth="1"/>
    <col min="12" max="12" width="9.77734375" style="2" customWidth="1"/>
    <col min="13" max="13" width="7.6640625" style="2" customWidth="1"/>
    <col min="14" max="14" width="9.77734375" style="2" customWidth="1"/>
    <col min="15" max="15" width="7.6640625" style="2" customWidth="1"/>
    <col min="16" max="16" width="9.77734375" style="2" customWidth="1"/>
    <col min="17" max="17" width="7.6640625" style="2" customWidth="1"/>
    <col min="18" max="256" width="9.77734375" style="2" customWidth="1"/>
    <col min="257" max="16384" width="11.5546875" style="2"/>
  </cols>
  <sheetData>
    <row r="1" spans="1:19">
      <c r="A1" s="3" t="s">
        <v>1719</v>
      </c>
    </row>
    <row r="3" spans="1:19" s="5" customFormat="1">
      <c r="B3" s="41" t="s">
        <v>1720</v>
      </c>
      <c r="C3" s="41"/>
      <c r="D3" s="41" t="s">
        <v>1721</v>
      </c>
      <c r="E3" s="41"/>
      <c r="F3" s="41" t="s">
        <v>1722</v>
      </c>
      <c r="G3" s="41"/>
      <c r="H3" s="41" t="s">
        <v>1723</v>
      </c>
      <c r="I3" s="41"/>
      <c r="J3" s="41" t="s">
        <v>1724</v>
      </c>
      <c r="K3" s="41"/>
      <c r="L3" s="41" t="s">
        <v>1725</v>
      </c>
      <c r="M3" s="41"/>
      <c r="N3" s="41" t="s">
        <v>1726</v>
      </c>
      <c r="O3" s="41"/>
      <c r="P3" s="41" t="s">
        <v>1727</v>
      </c>
      <c r="Q3" s="41"/>
      <c r="R3" s="41" t="s">
        <v>1728</v>
      </c>
      <c r="S3" s="41"/>
    </row>
    <row r="4" spans="1:19">
      <c r="A4" s="1" t="s">
        <v>4</v>
      </c>
      <c r="B4" s="2">
        <v>6745</v>
      </c>
      <c r="D4" s="2">
        <v>7345</v>
      </c>
      <c r="F4" s="2">
        <v>7344</v>
      </c>
      <c r="H4" s="2">
        <v>7361</v>
      </c>
      <c r="J4" s="2">
        <v>7320</v>
      </c>
      <c r="L4" s="2">
        <v>7271</v>
      </c>
      <c r="N4" s="2">
        <v>7247</v>
      </c>
      <c r="P4" s="2">
        <v>7225</v>
      </c>
      <c r="R4" s="2">
        <v>7199</v>
      </c>
    </row>
    <row r="5" spans="1:19">
      <c r="A5" s="1" t="s">
        <v>5</v>
      </c>
      <c r="B5" s="2">
        <v>37436</v>
      </c>
      <c r="D5" s="2">
        <v>41048</v>
      </c>
      <c r="F5" s="2">
        <v>41079</v>
      </c>
      <c r="H5" s="2">
        <v>41018</v>
      </c>
      <c r="J5" s="2">
        <v>40787</v>
      </c>
      <c r="L5" s="2">
        <v>40604</v>
      </c>
      <c r="N5" s="2">
        <v>40317</v>
      </c>
      <c r="P5" s="2">
        <v>40129</v>
      </c>
      <c r="R5" s="2">
        <v>39950</v>
      </c>
    </row>
    <row r="6" spans="1:19">
      <c r="A6" s="1" t="s">
        <v>6</v>
      </c>
      <c r="B6" s="2">
        <v>30626</v>
      </c>
      <c r="D6" s="2">
        <v>33519</v>
      </c>
      <c r="F6" s="2">
        <v>33526</v>
      </c>
      <c r="H6" s="2">
        <v>33457</v>
      </c>
      <c r="J6" s="2">
        <v>33257</v>
      </c>
      <c r="L6" s="2">
        <v>33133</v>
      </c>
      <c r="N6" s="2">
        <v>32886</v>
      </c>
      <c r="P6" s="2">
        <v>32715</v>
      </c>
      <c r="R6" s="2">
        <v>32578</v>
      </c>
    </row>
    <row r="8" spans="1:19">
      <c r="A8" s="1" t="s">
        <v>7</v>
      </c>
      <c r="B8" s="2" t="s">
        <v>1729</v>
      </c>
      <c r="C8" s="2" t="s">
        <v>103</v>
      </c>
      <c r="D8" s="2" t="s">
        <v>1730</v>
      </c>
      <c r="E8" s="2" t="s">
        <v>82</v>
      </c>
      <c r="F8" s="2" t="s">
        <v>1731</v>
      </c>
      <c r="G8" s="2" t="s">
        <v>39</v>
      </c>
      <c r="H8" s="2" t="s">
        <v>1732</v>
      </c>
      <c r="I8" s="2" t="s">
        <v>80</v>
      </c>
      <c r="J8" s="2" t="s">
        <v>1733</v>
      </c>
      <c r="K8" s="2" t="s">
        <v>892</v>
      </c>
      <c r="L8" s="2" t="s">
        <v>1734</v>
      </c>
      <c r="M8" s="2" t="s">
        <v>1273</v>
      </c>
      <c r="N8" s="2" t="s">
        <v>1735</v>
      </c>
      <c r="O8" s="2" t="s">
        <v>419</v>
      </c>
      <c r="P8" s="2" t="s">
        <v>1736</v>
      </c>
      <c r="Q8" s="2" t="s">
        <v>1095</v>
      </c>
      <c r="R8" s="2" t="s">
        <v>207</v>
      </c>
      <c r="S8" s="2" t="s">
        <v>205</v>
      </c>
    </row>
    <row r="9" spans="1:19">
      <c r="A9" s="1" t="s">
        <v>14</v>
      </c>
      <c r="B9" s="2" t="s">
        <v>1737</v>
      </c>
      <c r="C9" s="2" t="s">
        <v>20</v>
      </c>
      <c r="D9" s="2" t="s">
        <v>1738</v>
      </c>
      <c r="E9" s="2" t="s">
        <v>107</v>
      </c>
      <c r="F9" s="2" t="s">
        <v>1739</v>
      </c>
      <c r="G9" s="2" t="s">
        <v>107</v>
      </c>
      <c r="H9" s="2" t="s">
        <v>1740</v>
      </c>
      <c r="I9" s="2" t="s">
        <v>107</v>
      </c>
      <c r="J9" s="2" t="s">
        <v>1741</v>
      </c>
      <c r="K9" s="2" t="s">
        <v>107</v>
      </c>
      <c r="L9" s="2" t="s">
        <v>1742</v>
      </c>
      <c r="M9" s="2" t="s">
        <v>225</v>
      </c>
      <c r="N9" s="2" t="s">
        <v>1743</v>
      </c>
      <c r="O9" s="2" t="s">
        <v>105</v>
      </c>
      <c r="P9" s="2" t="s">
        <v>1744</v>
      </c>
      <c r="Q9" s="2" t="s">
        <v>105</v>
      </c>
      <c r="R9" s="2" t="s">
        <v>226</v>
      </c>
      <c r="S9" s="2" t="s">
        <v>105</v>
      </c>
    </row>
    <row r="10" spans="1:19">
      <c r="A10" s="1" t="s">
        <v>21</v>
      </c>
      <c r="B10" s="2" t="s">
        <v>1745</v>
      </c>
      <c r="C10" s="2" t="s">
        <v>1746</v>
      </c>
      <c r="D10" s="2" t="s">
        <v>1747</v>
      </c>
      <c r="E10" s="2" t="s">
        <v>363</v>
      </c>
      <c r="F10" s="2" t="s">
        <v>1748</v>
      </c>
      <c r="G10" s="2" t="s">
        <v>363</v>
      </c>
      <c r="H10" s="2" t="s">
        <v>1749</v>
      </c>
      <c r="I10" s="2" t="s">
        <v>1095</v>
      </c>
      <c r="J10" s="2" t="s">
        <v>1750</v>
      </c>
      <c r="K10" s="2" t="s">
        <v>201</v>
      </c>
      <c r="L10" s="2" t="s">
        <v>1751</v>
      </c>
      <c r="M10" s="2" t="s">
        <v>90</v>
      </c>
      <c r="N10" s="2" t="s">
        <v>1752</v>
      </c>
      <c r="O10" s="2" t="s">
        <v>1330</v>
      </c>
      <c r="P10" s="2" t="s">
        <v>1753</v>
      </c>
      <c r="Q10" s="2" t="s">
        <v>446</v>
      </c>
      <c r="R10" s="2" t="s">
        <v>250</v>
      </c>
      <c r="S10" s="2" t="s">
        <v>247</v>
      </c>
    </row>
    <row r="11" spans="1:19">
      <c r="A11" s="1" t="s">
        <v>28</v>
      </c>
      <c r="B11" s="2" t="s">
        <v>1754</v>
      </c>
      <c r="C11" s="2" t="s">
        <v>268</v>
      </c>
      <c r="D11" s="2" t="s">
        <v>1755</v>
      </c>
      <c r="E11" s="2" t="s">
        <v>115</v>
      </c>
      <c r="F11" s="2" t="s">
        <v>1756</v>
      </c>
      <c r="G11" s="2" t="s">
        <v>115</v>
      </c>
      <c r="H11" s="2" t="s">
        <v>1757</v>
      </c>
      <c r="I11" s="2" t="s">
        <v>115</v>
      </c>
      <c r="J11" s="2" t="s">
        <v>1758</v>
      </c>
      <c r="K11" s="2" t="s">
        <v>268</v>
      </c>
      <c r="L11" s="2" t="s">
        <v>1759</v>
      </c>
      <c r="M11" s="2" t="s">
        <v>268</v>
      </c>
      <c r="N11" s="2" t="s">
        <v>1760</v>
      </c>
      <c r="O11" s="2" t="s">
        <v>263</v>
      </c>
      <c r="P11" s="2" t="s">
        <v>1761</v>
      </c>
      <c r="Q11" s="2" t="s">
        <v>263</v>
      </c>
      <c r="R11" s="2" t="s">
        <v>269</v>
      </c>
      <c r="S11" s="2" t="s">
        <v>263</v>
      </c>
    </row>
    <row r="12" spans="1:19">
      <c r="A12" s="1" t="s">
        <v>34</v>
      </c>
      <c r="B12" s="2" t="s">
        <v>1762</v>
      </c>
      <c r="C12" s="2" t="s">
        <v>119</v>
      </c>
      <c r="D12" s="2" t="s">
        <v>1763</v>
      </c>
      <c r="E12" s="2" t="s">
        <v>1764</v>
      </c>
      <c r="F12" s="2" t="s">
        <v>1765</v>
      </c>
      <c r="G12" s="2" t="s">
        <v>1766</v>
      </c>
      <c r="H12" s="2" t="s">
        <v>1767</v>
      </c>
      <c r="I12" s="2" t="s">
        <v>1764</v>
      </c>
      <c r="J12" s="2" t="s">
        <v>1768</v>
      </c>
      <c r="K12" s="2" t="s">
        <v>1769</v>
      </c>
      <c r="L12" s="2" t="s">
        <v>1770</v>
      </c>
      <c r="M12" s="2" t="s">
        <v>1392</v>
      </c>
      <c r="N12" s="2" t="s">
        <v>1379</v>
      </c>
      <c r="O12" s="2" t="s">
        <v>1380</v>
      </c>
      <c r="P12" s="2" t="s">
        <v>1385</v>
      </c>
      <c r="Q12" s="2" t="s">
        <v>532</v>
      </c>
      <c r="R12" s="2" t="s">
        <v>290</v>
      </c>
      <c r="S12" s="2" t="s">
        <v>274</v>
      </c>
    </row>
    <row r="13" spans="1:19">
      <c r="A13" s="1" t="s">
        <v>40</v>
      </c>
      <c r="B13" s="2" t="s">
        <v>1771</v>
      </c>
      <c r="C13" s="2" t="s">
        <v>1376</v>
      </c>
      <c r="D13" s="2" t="s">
        <v>1772</v>
      </c>
      <c r="E13" s="2" t="s">
        <v>149</v>
      </c>
      <c r="F13" s="2" t="s">
        <v>1773</v>
      </c>
      <c r="G13" s="2" t="s">
        <v>304</v>
      </c>
      <c r="H13" s="2" t="s">
        <v>1774</v>
      </c>
      <c r="I13" s="2" t="s">
        <v>308</v>
      </c>
      <c r="J13" s="2" t="s">
        <v>1775</v>
      </c>
      <c r="K13" s="2" t="s">
        <v>82</v>
      </c>
      <c r="L13" s="2" t="s">
        <v>1776</v>
      </c>
      <c r="M13" s="2" t="s">
        <v>537</v>
      </c>
      <c r="N13" s="2" t="s">
        <v>1777</v>
      </c>
      <c r="O13" s="2" t="s">
        <v>304</v>
      </c>
      <c r="P13" s="2" t="s">
        <v>1778</v>
      </c>
      <c r="Q13" s="2" t="s">
        <v>304</v>
      </c>
      <c r="R13" s="2" t="s">
        <v>309</v>
      </c>
      <c r="S13" s="2" t="s">
        <v>304</v>
      </c>
    </row>
    <row r="15" spans="1:19">
      <c r="A15" s="1" t="s">
        <v>47</v>
      </c>
      <c r="B15" s="2">
        <v>4191</v>
      </c>
      <c r="D15" s="2">
        <v>5059</v>
      </c>
      <c r="F15" s="2">
        <v>5068</v>
      </c>
      <c r="H15" s="2">
        <v>5056</v>
      </c>
      <c r="J15" s="2">
        <v>5028</v>
      </c>
      <c r="L15" s="2">
        <v>4970</v>
      </c>
      <c r="N15" s="2">
        <v>4916</v>
      </c>
      <c r="P15" s="2">
        <v>4864</v>
      </c>
      <c r="R15" s="2">
        <v>4809</v>
      </c>
    </row>
    <row r="16" spans="1:19">
      <c r="A16" s="1" t="s">
        <v>48</v>
      </c>
      <c r="B16" s="2">
        <f xml:space="preserve"> 4191/6745</f>
        <v>0.62134914751667902</v>
      </c>
      <c r="C16" s="10" t="s">
        <v>580</v>
      </c>
      <c r="D16" s="2">
        <f xml:space="preserve"> 5059/7345</f>
        <v>0.68876786929884271</v>
      </c>
      <c r="E16" s="10" t="s">
        <v>331</v>
      </c>
      <c r="F16" s="2">
        <f xml:space="preserve"> 5068/7344</f>
        <v>0.69008714596949894</v>
      </c>
      <c r="G16" s="10">
        <v>0.69</v>
      </c>
      <c r="H16" s="2">
        <f xml:space="preserve"> 5056/7361</f>
        <v>0.68686319793506312</v>
      </c>
      <c r="I16" s="10" t="s">
        <v>945</v>
      </c>
      <c r="J16" s="2">
        <f xml:space="preserve"> 5028/7320</f>
        <v>0.68688524590163935</v>
      </c>
      <c r="K16" s="10" t="s">
        <v>945</v>
      </c>
      <c r="L16" s="2">
        <f xml:space="preserve"> 4970/7271</f>
        <v>0.68353734011827805</v>
      </c>
      <c r="M16" s="10" t="s">
        <v>1137</v>
      </c>
      <c r="N16" s="2">
        <f xml:space="preserve"> 4916/7247</f>
        <v>0.67834966192907409</v>
      </c>
      <c r="O16" s="10" t="s">
        <v>1779</v>
      </c>
      <c r="P16" s="2">
        <f xml:space="preserve"> 4864/7225</f>
        <v>0.67321799307958474</v>
      </c>
      <c r="Q16" s="10" t="s">
        <v>1780</v>
      </c>
      <c r="R16" s="2">
        <f xml:space="preserve"> 4809/7199</f>
        <v>0.66800944575635501</v>
      </c>
      <c r="S16" s="10" t="s">
        <v>321</v>
      </c>
    </row>
    <row r="17" spans="1:19">
      <c r="A17" s="1" t="s">
        <v>55</v>
      </c>
      <c r="B17" s="2">
        <f xml:space="preserve"> 4191/6795</f>
        <v>0.61677704194260485</v>
      </c>
      <c r="C17" s="10" t="s">
        <v>607</v>
      </c>
      <c r="D17" s="2">
        <f xml:space="preserve"> 5059/6795</f>
        <v>0.74451802796173661</v>
      </c>
      <c r="E17" s="10" t="s">
        <v>1143</v>
      </c>
      <c r="F17" s="2">
        <f xml:space="preserve"> 5068/6795</f>
        <v>0.74584253127299482</v>
      </c>
      <c r="G17" s="10" t="s">
        <v>1781</v>
      </c>
      <c r="H17" s="2">
        <f xml:space="preserve"> 5056/6795</f>
        <v>0.74407652685798387</v>
      </c>
      <c r="I17" s="10" t="s">
        <v>358</v>
      </c>
      <c r="J17" s="2">
        <f xml:space="preserve"> 5028/6795</f>
        <v>0.73995584988962471</v>
      </c>
      <c r="K17" s="10">
        <v>0.74</v>
      </c>
      <c r="L17" s="2">
        <f xml:space="preserve"> 4970/6795</f>
        <v>0.73142016188373804</v>
      </c>
      <c r="M17" s="10" t="s">
        <v>1436</v>
      </c>
      <c r="N17" s="2">
        <f xml:space="preserve"> 4916/6795</f>
        <v>0.7234731420161884</v>
      </c>
      <c r="O17" s="10" t="s">
        <v>1435</v>
      </c>
      <c r="P17" s="2">
        <f xml:space="preserve"> 4864/6795</f>
        <v>0.71582045621780721</v>
      </c>
      <c r="Q17" s="10" t="s">
        <v>349</v>
      </c>
      <c r="R17" s="2">
        <f xml:space="preserve"> 4809/6795</f>
        <v>0.70772626931567328</v>
      </c>
      <c r="S17" s="10" t="s">
        <v>335</v>
      </c>
    </row>
    <row r="18" spans="1:19">
      <c r="A18" s="1" t="s">
        <v>62</v>
      </c>
      <c r="B18" s="2" t="s">
        <v>1782</v>
      </c>
      <c r="C18" s="10" t="s">
        <v>597</v>
      </c>
      <c r="D18" s="2" t="s">
        <v>1783</v>
      </c>
      <c r="E18" s="10">
        <v>0.77</v>
      </c>
      <c r="F18" s="2" t="s">
        <v>1784</v>
      </c>
      <c r="G18" s="10" t="s">
        <v>1449</v>
      </c>
      <c r="H18" s="2" t="s">
        <v>1785</v>
      </c>
      <c r="I18" s="10">
        <v>0.77</v>
      </c>
      <c r="J18" s="2" t="s">
        <v>1786</v>
      </c>
      <c r="K18" s="10" t="s">
        <v>1787</v>
      </c>
      <c r="L18" s="2" t="s">
        <v>1788</v>
      </c>
      <c r="M18" s="10" t="s">
        <v>1789</v>
      </c>
      <c r="N18" s="2" t="s">
        <v>1790</v>
      </c>
      <c r="O18" s="10" t="s">
        <v>1451</v>
      </c>
      <c r="P18" s="2" t="s">
        <v>1791</v>
      </c>
      <c r="Q18" s="10" t="s">
        <v>1443</v>
      </c>
      <c r="R18" s="2" t="s">
        <v>361</v>
      </c>
      <c r="S18" s="10" t="s">
        <v>358</v>
      </c>
    </row>
    <row r="19" spans="1:19">
      <c r="B19" s="2">
        <f>B16*B17</f>
        <v>0.38323388921889651</v>
      </c>
      <c r="D19" s="2">
        <f>D16*D17</f>
        <v>0.51280009577378149</v>
      </c>
      <c r="F19" s="2">
        <f>F16*F17</f>
        <v>0.51469634374884776</v>
      </c>
      <c r="H19" s="2">
        <f>H16*H17</f>
        <v>0.51107878274608964</v>
      </c>
      <c r="J19" s="2">
        <f>J16*J17</f>
        <v>0.50826475590779141</v>
      </c>
      <c r="L19" s="2">
        <f>L16*L17</f>
        <v>0.49995299196289061</v>
      </c>
      <c r="N19" s="2">
        <f>N16*N17</f>
        <v>0.49076776130144639</v>
      </c>
      <c r="P19" s="2">
        <f>P16*P17</f>
        <v>0.48190321094026495</v>
      </c>
      <c r="R19" s="2">
        <f>R16*R17</f>
        <v>0.47276783291277574</v>
      </c>
    </row>
    <row r="21" spans="1:19">
      <c r="A21" s="1" t="s">
        <v>69</v>
      </c>
    </row>
    <row r="23" spans="1:19">
      <c r="A23" s="1" t="s">
        <v>70</v>
      </c>
      <c r="B23" s="2">
        <v>6455</v>
      </c>
      <c r="D23" s="2">
        <v>6911</v>
      </c>
      <c r="F23" s="2">
        <v>6890</v>
      </c>
      <c r="H23" s="2">
        <v>6890</v>
      </c>
      <c r="J23" s="2">
        <v>6845</v>
      </c>
      <c r="L23" s="2">
        <v>6816</v>
      </c>
      <c r="N23" s="2">
        <v>6795</v>
      </c>
      <c r="P23" s="2">
        <v>6779</v>
      </c>
      <c r="R23" s="2">
        <v>6753</v>
      </c>
    </row>
    <row r="24" spans="1:19">
      <c r="A24" s="1" t="s">
        <v>71</v>
      </c>
      <c r="B24" s="2">
        <v>6156</v>
      </c>
      <c r="D24" s="2">
        <v>6567</v>
      </c>
      <c r="F24" s="2">
        <v>6557</v>
      </c>
      <c r="H24" s="2">
        <v>6562</v>
      </c>
      <c r="J24" s="2">
        <v>6548</v>
      </c>
      <c r="L24" s="2">
        <v>6522</v>
      </c>
      <c r="N24" s="2">
        <v>6498</v>
      </c>
      <c r="P24" s="2">
        <v>6479</v>
      </c>
      <c r="R24" s="2">
        <v>6462</v>
      </c>
    </row>
    <row r="25" spans="1:19">
      <c r="A25" s="1" t="s">
        <v>72</v>
      </c>
      <c r="B25" s="2">
        <v>36879</v>
      </c>
      <c r="D25" s="2">
        <v>40244</v>
      </c>
      <c r="F25" s="2">
        <v>40278</v>
      </c>
      <c r="H25" s="2">
        <v>40190</v>
      </c>
      <c r="J25" s="2">
        <v>39979</v>
      </c>
      <c r="L25" s="2">
        <v>39818</v>
      </c>
      <c r="N25" s="2">
        <v>39553</v>
      </c>
      <c r="P25" s="2">
        <v>39377</v>
      </c>
      <c r="R25" s="2">
        <v>39208</v>
      </c>
    </row>
    <row r="26" spans="1:19">
      <c r="A26" s="1" t="s">
        <v>73</v>
      </c>
      <c r="B26" s="2">
        <v>30360</v>
      </c>
      <c r="D26" s="2">
        <v>33151</v>
      </c>
      <c r="F26" s="2">
        <v>33181</v>
      </c>
      <c r="H26" s="2">
        <v>33103</v>
      </c>
      <c r="J26" s="2">
        <v>32925</v>
      </c>
      <c r="L26" s="2">
        <v>32803</v>
      </c>
      <c r="N26" s="2">
        <v>32576</v>
      </c>
      <c r="P26" s="2">
        <v>32413</v>
      </c>
      <c r="R26" s="2">
        <v>32286</v>
      </c>
    </row>
    <row r="27" spans="1:19">
      <c r="A27" s="1" t="s">
        <v>74</v>
      </c>
      <c r="B27" s="2">
        <v>40595</v>
      </c>
      <c r="D27" s="2">
        <v>42566</v>
      </c>
      <c r="F27" s="2">
        <v>42475</v>
      </c>
      <c r="H27" s="2">
        <v>42477</v>
      </c>
      <c r="J27" s="2">
        <v>42393</v>
      </c>
      <c r="L27" s="2">
        <v>42250</v>
      </c>
      <c r="N27" s="2">
        <v>42155</v>
      </c>
      <c r="P27" s="2">
        <v>42053</v>
      </c>
      <c r="R27" s="2">
        <v>41969</v>
      </c>
    </row>
    <row r="28" spans="1:19">
      <c r="A28" s="1" t="s">
        <v>75</v>
      </c>
      <c r="B28" s="2">
        <v>34234</v>
      </c>
      <c r="D28" s="2">
        <v>35757</v>
      </c>
      <c r="F28" s="2">
        <v>35681</v>
      </c>
      <c r="H28" s="2">
        <v>35674</v>
      </c>
      <c r="J28" s="2">
        <v>35609</v>
      </c>
      <c r="L28" s="2">
        <v>35495</v>
      </c>
      <c r="N28" s="2">
        <v>35428</v>
      </c>
      <c r="P28" s="2">
        <v>35347</v>
      </c>
      <c r="R28" s="2">
        <v>35280</v>
      </c>
    </row>
    <row r="30" spans="1:19">
      <c r="A30" s="1" t="s">
        <v>7</v>
      </c>
      <c r="B30" s="2" t="s">
        <v>1792</v>
      </c>
      <c r="C30" s="2" t="s">
        <v>158</v>
      </c>
      <c r="D30" s="2" t="s">
        <v>1793</v>
      </c>
      <c r="E30" s="2" t="s">
        <v>121</v>
      </c>
      <c r="F30" s="2" t="s">
        <v>1794</v>
      </c>
      <c r="G30" s="2" t="s">
        <v>1158</v>
      </c>
      <c r="H30" s="2" t="s">
        <v>1795</v>
      </c>
      <c r="I30" s="2" t="s">
        <v>121</v>
      </c>
      <c r="J30" s="2" t="s">
        <v>1796</v>
      </c>
      <c r="K30" s="2" t="s">
        <v>1122</v>
      </c>
      <c r="L30" s="2" t="s">
        <v>1797</v>
      </c>
      <c r="M30" s="2" t="s">
        <v>526</v>
      </c>
      <c r="N30" s="2" t="s">
        <v>1798</v>
      </c>
      <c r="O30" s="2" t="s">
        <v>125</v>
      </c>
      <c r="P30" s="2" t="s">
        <v>1799</v>
      </c>
      <c r="Q30" s="2" t="s">
        <v>280</v>
      </c>
      <c r="R30" s="2" t="s">
        <v>380</v>
      </c>
      <c r="S30" s="2" t="s">
        <v>282</v>
      </c>
    </row>
    <row r="31" spans="1:19">
      <c r="A31" s="1" t="s">
        <v>14</v>
      </c>
      <c r="B31" s="2" t="s">
        <v>1800</v>
      </c>
      <c r="C31" s="2" t="s">
        <v>84</v>
      </c>
      <c r="D31" s="2" t="s">
        <v>1801</v>
      </c>
      <c r="E31" s="2" t="s">
        <v>84</v>
      </c>
      <c r="F31" s="2" t="s">
        <v>1802</v>
      </c>
      <c r="G31" s="2" t="s">
        <v>84</v>
      </c>
      <c r="H31" s="2" t="s">
        <v>1803</v>
      </c>
      <c r="I31" s="2" t="s">
        <v>84</v>
      </c>
      <c r="J31" s="2" t="s">
        <v>1804</v>
      </c>
      <c r="K31" s="2" t="s">
        <v>84</v>
      </c>
      <c r="L31" s="2" t="s">
        <v>1805</v>
      </c>
      <c r="M31" s="2" t="s">
        <v>84</v>
      </c>
      <c r="N31" s="2" t="s">
        <v>1806</v>
      </c>
      <c r="O31" s="2" t="s">
        <v>77</v>
      </c>
      <c r="P31" s="2" t="s">
        <v>1807</v>
      </c>
      <c r="Q31" s="2" t="s">
        <v>77</v>
      </c>
      <c r="R31" s="2" t="s">
        <v>396</v>
      </c>
      <c r="S31" s="2" t="s">
        <v>77</v>
      </c>
    </row>
    <row r="32" spans="1:19">
      <c r="A32" s="1" t="s">
        <v>21</v>
      </c>
      <c r="B32" s="2" t="s">
        <v>1808</v>
      </c>
      <c r="C32" s="2" t="s">
        <v>976</v>
      </c>
      <c r="D32" s="2" t="s">
        <v>1809</v>
      </c>
      <c r="E32" s="2" t="s">
        <v>127</v>
      </c>
      <c r="F32" s="2" t="s">
        <v>1810</v>
      </c>
      <c r="G32" s="2" t="s">
        <v>80</v>
      </c>
      <c r="H32" s="2" t="s">
        <v>1811</v>
      </c>
      <c r="I32" s="2" t="s">
        <v>127</v>
      </c>
      <c r="J32" s="2" t="s">
        <v>1812</v>
      </c>
      <c r="K32" s="2" t="s">
        <v>892</v>
      </c>
      <c r="L32" s="2" t="s">
        <v>1813</v>
      </c>
      <c r="M32" s="2" t="s">
        <v>897</v>
      </c>
      <c r="N32" s="2" t="s">
        <v>1814</v>
      </c>
      <c r="O32" s="2" t="s">
        <v>629</v>
      </c>
      <c r="P32" s="2" t="s">
        <v>1815</v>
      </c>
      <c r="Q32" s="2" t="s">
        <v>958</v>
      </c>
      <c r="R32" s="2" t="s">
        <v>420</v>
      </c>
      <c r="S32" s="2" t="s">
        <v>419</v>
      </c>
    </row>
    <row r="33" spans="1:19">
      <c r="A33" s="1" t="s">
        <v>28</v>
      </c>
      <c r="B33" s="2" t="s">
        <v>1816</v>
      </c>
      <c r="C33" s="2" t="s">
        <v>94</v>
      </c>
      <c r="D33" s="2" t="s">
        <v>1817</v>
      </c>
      <c r="E33" s="2" t="s">
        <v>84</v>
      </c>
      <c r="F33" s="2" t="s">
        <v>1818</v>
      </c>
      <c r="G33" s="2" t="s">
        <v>84</v>
      </c>
      <c r="H33" s="2" t="s">
        <v>1819</v>
      </c>
      <c r="I33" s="2" t="s">
        <v>84</v>
      </c>
      <c r="J33" s="2" t="s">
        <v>1820</v>
      </c>
      <c r="K33" s="2" t="s">
        <v>84</v>
      </c>
      <c r="L33" s="2" t="s">
        <v>1821</v>
      </c>
      <c r="M33" s="2" t="s">
        <v>84</v>
      </c>
      <c r="N33" s="2" t="s">
        <v>1822</v>
      </c>
      <c r="O33" s="2" t="s">
        <v>84</v>
      </c>
      <c r="P33" s="2" t="s">
        <v>1823</v>
      </c>
      <c r="Q33" s="2" t="s">
        <v>84</v>
      </c>
      <c r="R33" s="2" t="s">
        <v>436</v>
      </c>
      <c r="S33" s="2" t="s">
        <v>84</v>
      </c>
    </row>
    <row r="35" spans="1:19">
      <c r="A35" s="1" t="s">
        <v>1824</v>
      </c>
      <c r="B35" s="2">
        <v>5403</v>
      </c>
      <c r="D35" s="2">
        <v>6289</v>
      </c>
      <c r="F35" s="2">
        <v>6121</v>
      </c>
      <c r="H35" s="2">
        <v>6001</v>
      </c>
      <c r="J35" s="2">
        <v>5794</v>
      </c>
      <c r="L35" s="2">
        <v>5652</v>
      </c>
      <c r="N35" s="2">
        <v>5260</v>
      </c>
      <c r="P35" s="2">
        <v>5000</v>
      </c>
      <c r="R35" s="2">
        <v>4854</v>
      </c>
    </row>
  </sheetData>
  <sheetProtection selectLockedCells="1" selectUnlockedCells="1"/>
  <mergeCells count="9">
    <mergeCell ref="N3:O3"/>
    <mergeCell ref="P3:Q3"/>
    <mergeCell ref="R3:S3"/>
    <mergeCell ref="B3:C3"/>
    <mergeCell ref="D3:E3"/>
    <mergeCell ref="F3:G3"/>
    <mergeCell ref="H3:I3"/>
    <mergeCell ref="J3:K3"/>
    <mergeCell ref="L3:M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3.2"/>
  <cols>
    <col min="1" max="1" width="51.109375" style="1" customWidth="1"/>
    <col min="2" max="2" width="9.77734375" style="2" customWidth="1"/>
    <col min="3" max="3" width="7.6640625" style="2" customWidth="1"/>
    <col min="4" max="4" width="9.77734375" style="2" customWidth="1"/>
    <col min="5" max="5" width="7.6640625" style="2" customWidth="1"/>
    <col min="6" max="6" width="9.77734375" style="2" customWidth="1"/>
    <col min="7" max="7" width="7.6640625" style="2" customWidth="1"/>
    <col min="8" max="8" width="9.77734375" style="2" customWidth="1"/>
    <col min="9" max="9" width="7.6640625" style="2" customWidth="1"/>
    <col min="10" max="10" width="9.77734375" style="2" customWidth="1"/>
    <col min="11" max="11" width="7.6640625" style="2" customWidth="1"/>
    <col min="12" max="12" width="9.77734375" style="2" customWidth="1"/>
    <col min="13" max="13" width="7.6640625" style="2" customWidth="1"/>
    <col min="14" max="14" width="9.77734375" style="2" customWidth="1"/>
    <col min="15" max="15" width="7.6640625" style="2" customWidth="1"/>
    <col min="16" max="16" width="9.77734375" style="2" customWidth="1"/>
    <col min="17" max="17" width="7.6640625" style="2" customWidth="1"/>
    <col min="18" max="256" width="9.77734375" style="2" customWidth="1"/>
    <col min="257" max="16384" width="11.5546875" style="2"/>
  </cols>
  <sheetData>
    <row r="1" spans="1:19">
      <c r="A1" s="3" t="s">
        <v>1825</v>
      </c>
    </row>
    <row r="3" spans="1:19" s="5" customFormat="1">
      <c r="B3" s="41" t="s">
        <v>1720</v>
      </c>
      <c r="C3" s="41"/>
      <c r="D3" s="41" t="s">
        <v>1721</v>
      </c>
      <c r="E3" s="41"/>
      <c r="F3" s="41" t="s">
        <v>1722</v>
      </c>
      <c r="G3" s="41"/>
      <c r="H3" s="41" t="s">
        <v>1723</v>
      </c>
      <c r="I3" s="41"/>
      <c r="J3" s="41" t="s">
        <v>1724</v>
      </c>
      <c r="K3" s="41"/>
      <c r="L3" s="41" t="s">
        <v>1725</v>
      </c>
      <c r="M3" s="41"/>
      <c r="N3" s="41" t="s">
        <v>1726</v>
      </c>
      <c r="O3" s="41"/>
      <c r="P3" s="41" t="s">
        <v>1727</v>
      </c>
      <c r="Q3" s="41"/>
      <c r="R3" s="41" t="s">
        <v>1728</v>
      </c>
      <c r="S3" s="41"/>
    </row>
    <row r="4" spans="1:19">
      <c r="A4" s="1" t="s">
        <v>4</v>
      </c>
      <c r="B4" s="2">
        <v>7034</v>
      </c>
      <c r="D4" s="2">
        <v>7480</v>
      </c>
      <c r="F4" s="2">
        <v>7455</v>
      </c>
      <c r="H4" s="2">
        <v>7435</v>
      </c>
      <c r="J4" s="2">
        <v>7340</v>
      </c>
      <c r="L4" s="2">
        <v>7293</v>
      </c>
      <c r="N4" s="2">
        <v>7212</v>
      </c>
      <c r="P4" s="2">
        <v>7153</v>
      </c>
      <c r="R4" s="2">
        <v>7034</v>
      </c>
    </row>
    <row r="5" spans="1:19">
      <c r="A5" s="1" t="s">
        <v>5</v>
      </c>
      <c r="B5" s="2">
        <v>38581</v>
      </c>
      <c r="D5" s="2">
        <v>41743</v>
      </c>
      <c r="F5" s="2">
        <v>41678</v>
      </c>
      <c r="H5" s="2">
        <v>41602</v>
      </c>
      <c r="J5" s="2">
        <v>41291</v>
      </c>
      <c r="L5" s="2">
        <v>41138</v>
      </c>
      <c r="N5" s="2">
        <v>40603</v>
      </c>
      <c r="P5" s="2">
        <v>40249</v>
      </c>
      <c r="R5" s="2">
        <v>39365</v>
      </c>
    </row>
    <row r="6" spans="1:19">
      <c r="A6" s="1" t="s">
        <v>6</v>
      </c>
      <c r="B6" s="2">
        <v>31456</v>
      </c>
      <c r="D6" s="2">
        <v>34041</v>
      </c>
      <c r="F6" s="2">
        <v>33996</v>
      </c>
      <c r="H6" s="2">
        <v>33921</v>
      </c>
      <c r="J6" s="2">
        <v>33732</v>
      </c>
      <c r="L6" s="2">
        <v>33617</v>
      </c>
      <c r="N6" s="2">
        <v>33198</v>
      </c>
      <c r="P6" s="2">
        <v>32914</v>
      </c>
      <c r="R6" s="2">
        <v>32193</v>
      </c>
    </row>
    <row r="8" spans="1:19">
      <c r="A8" s="1" t="s">
        <v>7</v>
      </c>
      <c r="B8" s="2" t="s">
        <v>1826</v>
      </c>
      <c r="C8" s="2" t="s">
        <v>111</v>
      </c>
      <c r="D8" s="2" t="s">
        <v>1827</v>
      </c>
      <c r="E8" s="2" t="s">
        <v>46</v>
      </c>
      <c r="F8" s="2" t="s">
        <v>1828</v>
      </c>
      <c r="G8" s="2" t="s">
        <v>526</v>
      </c>
      <c r="H8" s="2" t="s">
        <v>1829</v>
      </c>
      <c r="I8" s="2" t="s">
        <v>518</v>
      </c>
      <c r="J8" s="2" t="s">
        <v>1830</v>
      </c>
      <c r="K8" s="2" t="s">
        <v>282</v>
      </c>
      <c r="L8" s="2" t="s">
        <v>1831</v>
      </c>
      <c r="M8" s="2" t="s">
        <v>302</v>
      </c>
      <c r="N8" s="2" t="s">
        <v>1832</v>
      </c>
      <c r="O8" s="2" t="s">
        <v>892</v>
      </c>
      <c r="P8" s="2" t="s">
        <v>1833</v>
      </c>
      <c r="Q8" s="2" t="s">
        <v>954</v>
      </c>
      <c r="R8" s="2" t="s">
        <v>459</v>
      </c>
      <c r="S8" s="2" t="s">
        <v>119</v>
      </c>
    </row>
    <row r="9" spans="1:19">
      <c r="A9" s="1" t="s">
        <v>14</v>
      </c>
      <c r="B9" s="2" t="s">
        <v>1834</v>
      </c>
      <c r="C9" s="2" t="s">
        <v>1191</v>
      </c>
      <c r="D9" s="2" t="s">
        <v>1835</v>
      </c>
      <c r="E9" s="2" t="s">
        <v>1836</v>
      </c>
      <c r="F9" s="2" t="s">
        <v>1837</v>
      </c>
      <c r="G9" s="2" t="s">
        <v>1836</v>
      </c>
      <c r="H9" s="2" t="s">
        <v>1838</v>
      </c>
      <c r="I9" s="2" t="s">
        <v>1839</v>
      </c>
      <c r="J9" s="2" t="s">
        <v>1840</v>
      </c>
      <c r="K9" s="2" t="s">
        <v>1841</v>
      </c>
      <c r="L9" s="2" t="s">
        <v>1842</v>
      </c>
      <c r="M9" s="2" t="s">
        <v>1841</v>
      </c>
      <c r="N9" s="2" t="s">
        <v>1843</v>
      </c>
      <c r="O9" s="2" t="s">
        <v>1844</v>
      </c>
      <c r="P9" s="2" t="s">
        <v>1845</v>
      </c>
      <c r="Q9" s="2" t="s">
        <v>1846</v>
      </c>
      <c r="R9" s="2" t="s">
        <v>475</v>
      </c>
      <c r="S9" s="2" t="s">
        <v>107</v>
      </c>
    </row>
    <row r="10" spans="1:19">
      <c r="A10" s="1" t="s">
        <v>21</v>
      </c>
      <c r="B10" s="2" t="s">
        <v>1847</v>
      </c>
      <c r="C10" s="2" t="s">
        <v>442</v>
      </c>
      <c r="D10" s="2" t="s">
        <v>1848</v>
      </c>
      <c r="E10" s="2" t="s">
        <v>80</v>
      </c>
      <c r="F10" s="2" t="s">
        <v>1849</v>
      </c>
      <c r="G10" s="2" t="s">
        <v>127</v>
      </c>
      <c r="H10" s="2" t="s">
        <v>1850</v>
      </c>
      <c r="I10" s="2" t="s">
        <v>1156</v>
      </c>
      <c r="J10" s="2" t="s">
        <v>1851</v>
      </c>
      <c r="K10" s="2" t="s">
        <v>901</v>
      </c>
      <c r="L10" s="2" t="s">
        <v>1852</v>
      </c>
      <c r="M10" s="2" t="s">
        <v>629</v>
      </c>
      <c r="N10" s="2" t="s">
        <v>1853</v>
      </c>
      <c r="O10" s="2" t="s">
        <v>205</v>
      </c>
      <c r="P10" s="2" t="s">
        <v>1854</v>
      </c>
      <c r="Q10" s="2" t="s">
        <v>455</v>
      </c>
      <c r="R10" s="2" t="s">
        <v>499</v>
      </c>
      <c r="S10" s="2" t="s">
        <v>496</v>
      </c>
    </row>
    <row r="11" spans="1:19">
      <c r="A11" s="1" t="s">
        <v>28</v>
      </c>
      <c r="B11" s="2" t="s">
        <v>1855</v>
      </c>
      <c r="C11" s="2" t="s">
        <v>1856</v>
      </c>
      <c r="D11" s="2" t="s">
        <v>1857</v>
      </c>
      <c r="E11" s="2" t="s">
        <v>18</v>
      </c>
      <c r="F11" s="2" t="s">
        <v>1858</v>
      </c>
      <c r="G11" s="2" t="s">
        <v>18</v>
      </c>
      <c r="H11" s="2" t="s">
        <v>1859</v>
      </c>
      <c r="I11" s="2" t="s">
        <v>1856</v>
      </c>
      <c r="J11" s="2" t="s">
        <v>1860</v>
      </c>
      <c r="K11" s="2" t="s">
        <v>1856</v>
      </c>
      <c r="L11" s="2" t="s">
        <v>1861</v>
      </c>
      <c r="M11" s="2" t="s">
        <v>1856</v>
      </c>
      <c r="N11" s="2" t="s">
        <v>1862</v>
      </c>
      <c r="O11" s="2" t="s">
        <v>515</v>
      </c>
      <c r="P11" s="2" t="s">
        <v>1863</v>
      </c>
      <c r="Q11" s="2" t="s">
        <v>515</v>
      </c>
      <c r="R11" s="2" t="s">
        <v>516</v>
      </c>
      <c r="S11" s="2" t="s">
        <v>115</v>
      </c>
    </row>
    <row r="12" spans="1:19">
      <c r="A12" s="1" t="s">
        <v>34</v>
      </c>
      <c r="B12" s="2" t="s">
        <v>1864</v>
      </c>
      <c r="C12" s="2" t="s">
        <v>276</v>
      </c>
      <c r="D12" s="2" t="s">
        <v>1865</v>
      </c>
      <c r="E12" s="2" t="s">
        <v>209</v>
      </c>
      <c r="F12" s="2" t="s">
        <v>1866</v>
      </c>
      <c r="G12" s="2" t="s">
        <v>209</v>
      </c>
      <c r="H12" s="2" t="s">
        <v>1867</v>
      </c>
      <c r="I12" s="2" t="s">
        <v>225</v>
      </c>
      <c r="J12" s="2" t="s">
        <v>1868</v>
      </c>
      <c r="K12" s="2" t="s">
        <v>1191</v>
      </c>
      <c r="L12" s="2" t="s">
        <v>1869</v>
      </c>
      <c r="M12" s="2" t="s">
        <v>1844</v>
      </c>
      <c r="N12" s="2" t="s">
        <v>1870</v>
      </c>
      <c r="O12" s="2" t="s">
        <v>1769</v>
      </c>
      <c r="P12" s="2" t="s">
        <v>1871</v>
      </c>
      <c r="Q12" s="2" t="s">
        <v>1388</v>
      </c>
      <c r="R12" s="2" t="s">
        <v>530</v>
      </c>
      <c r="S12" s="2" t="s">
        <v>121</v>
      </c>
    </row>
    <row r="13" spans="1:19">
      <c r="A13" s="1" t="s">
        <v>40</v>
      </c>
      <c r="B13" s="2" t="s">
        <v>1872</v>
      </c>
      <c r="C13" s="2" t="s">
        <v>302</v>
      </c>
      <c r="D13" s="2" t="s">
        <v>1873</v>
      </c>
      <c r="E13" s="2" t="s">
        <v>203</v>
      </c>
      <c r="F13" s="2" t="s">
        <v>1874</v>
      </c>
      <c r="G13" s="2" t="s">
        <v>201</v>
      </c>
      <c r="H13" s="2" t="s">
        <v>1875</v>
      </c>
      <c r="I13" s="2" t="s">
        <v>201</v>
      </c>
      <c r="J13" s="2" t="s">
        <v>1876</v>
      </c>
      <c r="K13" s="2" t="s">
        <v>1095</v>
      </c>
      <c r="L13" s="2" t="s">
        <v>1877</v>
      </c>
      <c r="M13" s="2" t="s">
        <v>1095</v>
      </c>
      <c r="N13" s="2" t="s">
        <v>1878</v>
      </c>
      <c r="O13" s="2" t="s">
        <v>419</v>
      </c>
      <c r="P13" s="2" t="s">
        <v>1879</v>
      </c>
      <c r="Q13" s="2" t="s">
        <v>629</v>
      </c>
      <c r="R13" s="2" t="s">
        <v>550</v>
      </c>
      <c r="S13" s="2" t="s">
        <v>546</v>
      </c>
    </row>
    <row r="15" spans="1:19">
      <c r="A15" s="1" t="s">
        <v>47</v>
      </c>
      <c r="B15" s="2">
        <v>4348</v>
      </c>
      <c r="D15" s="2">
        <v>5123</v>
      </c>
      <c r="F15" s="2">
        <v>5110</v>
      </c>
      <c r="H15" s="2">
        <v>5087</v>
      </c>
      <c r="J15" s="2">
        <v>5026</v>
      </c>
      <c r="L15" s="2">
        <v>4977</v>
      </c>
      <c r="N15" s="2">
        <v>4828</v>
      </c>
      <c r="P15" s="2">
        <v>4754</v>
      </c>
      <c r="R15" s="2">
        <v>4516</v>
      </c>
    </row>
    <row r="16" spans="1:19">
      <c r="A16" s="1" t="s">
        <v>48</v>
      </c>
      <c r="B16" s="2" t="s">
        <v>1880</v>
      </c>
      <c r="C16" s="10" t="s">
        <v>919</v>
      </c>
      <c r="D16" s="2" t="s">
        <v>1881</v>
      </c>
      <c r="E16" s="10" t="s">
        <v>1429</v>
      </c>
      <c r="F16" s="2" t="s">
        <v>1882</v>
      </c>
      <c r="G16" s="10" t="s">
        <v>1429</v>
      </c>
      <c r="H16" s="2" t="s">
        <v>1883</v>
      </c>
      <c r="I16" s="10" t="s">
        <v>1137</v>
      </c>
      <c r="J16" s="2" t="s">
        <v>1884</v>
      </c>
      <c r="K16" s="10" t="s">
        <v>1429</v>
      </c>
      <c r="L16" s="2" t="s">
        <v>1885</v>
      </c>
      <c r="M16" s="10" t="s">
        <v>1886</v>
      </c>
      <c r="N16" s="2" t="s">
        <v>1887</v>
      </c>
      <c r="O16" s="10" t="s">
        <v>589</v>
      </c>
      <c r="P16" s="2" t="s">
        <v>1888</v>
      </c>
      <c r="Q16" s="10" t="s">
        <v>61</v>
      </c>
      <c r="R16" s="2" t="s">
        <v>573</v>
      </c>
      <c r="S16" s="10" t="s">
        <v>571</v>
      </c>
    </row>
    <row r="17" spans="1:19">
      <c r="A17" s="1" t="s">
        <v>1215</v>
      </c>
      <c r="B17" s="2" t="s">
        <v>1889</v>
      </c>
      <c r="C17" s="10" t="s">
        <v>340</v>
      </c>
      <c r="D17" s="2" t="s">
        <v>1890</v>
      </c>
      <c r="E17" s="10" t="s">
        <v>1471</v>
      </c>
      <c r="F17" s="2" t="s">
        <v>1891</v>
      </c>
      <c r="G17" s="10">
        <v>0.77</v>
      </c>
      <c r="H17" s="2" t="s">
        <v>1892</v>
      </c>
      <c r="I17" s="10" t="s">
        <v>1893</v>
      </c>
      <c r="J17" s="2" t="s">
        <v>1894</v>
      </c>
      <c r="K17" s="10" t="s">
        <v>1451</v>
      </c>
      <c r="L17" s="2" t="s">
        <v>1895</v>
      </c>
      <c r="M17" s="10">
        <v>0.75</v>
      </c>
      <c r="N17" s="2" t="s">
        <v>1896</v>
      </c>
      <c r="O17" s="10" t="s">
        <v>1225</v>
      </c>
      <c r="P17" s="2" t="s">
        <v>1897</v>
      </c>
      <c r="Q17" s="10" t="s">
        <v>349</v>
      </c>
      <c r="R17" s="2" t="s">
        <v>598</v>
      </c>
      <c r="S17" s="10">
        <v>0.68</v>
      </c>
    </row>
    <row r="18" spans="1:19">
      <c r="A18" s="1" t="s">
        <v>599</v>
      </c>
      <c r="B18" s="2" t="s">
        <v>1898</v>
      </c>
      <c r="C18" s="10" t="s">
        <v>1147</v>
      </c>
      <c r="D18" s="2" t="s">
        <v>1899</v>
      </c>
      <c r="E18" s="10" t="s">
        <v>1482</v>
      </c>
      <c r="F18" s="2" t="s">
        <v>1900</v>
      </c>
      <c r="G18" s="10" t="s">
        <v>1475</v>
      </c>
      <c r="H18" s="2" t="s">
        <v>1901</v>
      </c>
      <c r="I18" s="10" t="s">
        <v>1902</v>
      </c>
      <c r="J18" s="2" t="s">
        <v>1903</v>
      </c>
      <c r="K18" s="10" t="s">
        <v>1904</v>
      </c>
      <c r="L18" s="2" t="s">
        <v>1905</v>
      </c>
      <c r="M18" s="10" t="s">
        <v>1471</v>
      </c>
      <c r="N18" s="2" t="s">
        <v>1906</v>
      </c>
      <c r="O18" s="10" t="s">
        <v>1141</v>
      </c>
      <c r="P18" s="2" t="s">
        <v>1907</v>
      </c>
      <c r="Q18" s="10" t="s">
        <v>1143</v>
      </c>
      <c r="R18" s="2" t="s">
        <v>625</v>
      </c>
      <c r="S18" s="10" t="s">
        <v>351</v>
      </c>
    </row>
    <row r="21" spans="1:19">
      <c r="A21" s="1" t="s">
        <v>69</v>
      </c>
    </row>
    <row r="23" spans="1:19">
      <c r="A23" s="1" t="s">
        <v>70</v>
      </c>
      <c r="B23" s="2">
        <v>6603</v>
      </c>
      <c r="D23" s="2">
        <v>6811</v>
      </c>
      <c r="F23" s="2">
        <v>6786</v>
      </c>
      <c r="H23" s="2">
        <v>6768</v>
      </c>
      <c r="J23" s="2">
        <v>6713</v>
      </c>
      <c r="L23" s="2">
        <v>6676</v>
      </c>
      <c r="N23" s="2">
        <v>6626</v>
      </c>
      <c r="P23" s="2">
        <v>6601</v>
      </c>
      <c r="R23" s="2">
        <v>6543</v>
      </c>
    </row>
    <row r="24" spans="1:19">
      <c r="A24" s="1" t="s">
        <v>71</v>
      </c>
      <c r="B24" s="2">
        <v>6270</v>
      </c>
      <c r="D24" s="2">
        <v>6494</v>
      </c>
      <c r="F24" s="2">
        <v>6490</v>
      </c>
      <c r="H24" s="2">
        <v>6477</v>
      </c>
      <c r="J24" s="2">
        <v>6464</v>
      </c>
      <c r="L24" s="2">
        <v>6445</v>
      </c>
      <c r="N24" s="2">
        <v>6399</v>
      </c>
      <c r="P24" s="2">
        <v>6380</v>
      </c>
      <c r="R24" s="2">
        <v>6318</v>
      </c>
    </row>
    <row r="25" spans="1:19">
      <c r="A25" s="1" t="s">
        <v>72</v>
      </c>
      <c r="B25" s="2">
        <v>37788</v>
      </c>
      <c r="D25" s="2">
        <v>40591</v>
      </c>
      <c r="F25" s="2">
        <v>40525</v>
      </c>
      <c r="H25" s="2">
        <v>40480</v>
      </c>
      <c r="J25" s="2">
        <v>40224</v>
      </c>
      <c r="L25" s="2">
        <v>40091</v>
      </c>
      <c r="N25" s="2">
        <v>39611</v>
      </c>
      <c r="P25" s="2">
        <v>39312</v>
      </c>
      <c r="R25" s="2">
        <v>38538</v>
      </c>
    </row>
    <row r="26" spans="1:19">
      <c r="A26" s="1" t="s">
        <v>73</v>
      </c>
      <c r="B26" s="2">
        <v>31096</v>
      </c>
      <c r="D26" s="2">
        <v>33561</v>
      </c>
      <c r="F26" s="2">
        <v>33515</v>
      </c>
      <c r="H26" s="2">
        <v>33470</v>
      </c>
      <c r="J26" s="2">
        <v>33293</v>
      </c>
      <c r="L26" s="2">
        <v>33192</v>
      </c>
      <c r="N26" s="2">
        <v>32798</v>
      </c>
      <c r="P26" s="2">
        <v>32532</v>
      </c>
      <c r="R26" s="2">
        <v>31857</v>
      </c>
    </row>
    <row r="27" spans="1:19">
      <c r="A27" s="1" t="s">
        <v>74</v>
      </c>
      <c r="B27" s="2">
        <v>40984</v>
      </c>
      <c r="D27" s="2">
        <v>42099</v>
      </c>
      <c r="F27" s="2">
        <v>42081</v>
      </c>
      <c r="H27" s="2">
        <v>41990</v>
      </c>
      <c r="J27" s="2">
        <v>41930</v>
      </c>
      <c r="L27" s="2">
        <v>41842</v>
      </c>
      <c r="N27" s="2">
        <v>41576</v>
      </c>
      <c r="P27" s="2">
        <v>41487</v>
      </c>
      <c r="R27" s="2">
        <v>41170</v>
      </c>
    </row>
    <row r="28" spans="1:19">
      <c r="A28" s="1" t="s">
        <v>75</v>
      </c>
      <c r="B28" s="2">
        <v>34630</v>
      </c>
      <c r="D28" s="2">
        <v>35514</v>
      </c>
      <c r="F28" s="2">
        <v>35500</v>
      </c>
      <c r="H28" s="2">
        <v>35422</v>
      </c>
      <c r="J28" s="2">
        <v>35375</v>
      </c>
      <c r="L28" s="2">
        <v>35307</v>
      </c>
      <c r="N28" s="2">
        <v>35087</v>
      </c>
      <c r="P28" s="2">
        <v>35018</v>
      </c>
      <c r="R28" s="2">
        <v>34763</v>
      </c>
    </row>
    <row r="30" spans="1:19">
      <c r="A30" s="1" t="s">
        <v>7</v>
      </c>
      <c r="B30" s="2" t="s">
        <v>1908</v>
      </c>
      <c r="C30" s="2" t="s">
        <v>1273</v>
      </c>
      <c r="D30" s="2" t="s">
        <v>1909</v>
      </c>
      <c r="E30" s="2" t="s">
        <v>1623</v>
      </c>
      <c r="F30" s="2" t="s">
        <v>1910</v>
      </c>
      <c r="G30" s="2" t="s">
        <v>1388</v>
      </c>
      <c r="H30" s="2" t="s">
        <v>1911</v>
      </c>
      <c r="I30" s="2" t="s">
        <v>1206</v>
      </c>
      <c r="J30" s="2" t="s">
        <v>1912</v>
      </c>
      <c r="K30" s="2" t="s">
        <v>1203</v>
      </c>
      <c r="L30" s="2" t="s">
        <v>1913</v>
      </c>
      <c r="M30" s="2" t="s">
        <v>1376</v>
      </c>
      <c r="N30" s="2" t="s">
        <v>1914</v>
      </c>
      <c r="O30" s="2" t="s">
        <v>121</v>
      </c>
      <c r="P30" s="2" t="s">
        <v>1915</v>
      </c>
      <c r="Q30" s="2" t="s">
        <v>526</v>
      </c>
      <c r="R30" s="2" t="s">
        <v>642</v>
      </c>
      <c r="S30" s="2" t="s">
        <v>302</v>
      </c>
    </row>
    <row r="31" spans="1:19">
      <c r="A31" s="1" t="s">
        <v>14</v>
      </c>
      <c r="B31" s="2" t="s">
        <v>1916</v>
      </c>
      <c r="C31" s="2" t="s">
        <v>84</v>
      </c>
      <c r="D31" s="2" t="s">
        <v>1917</v>
      </c>
      <c r="E31" s="2" t="s">
        <v>77</v>
      </c>
      <c r="F31" s="2" t="s">
        <v>1918</v>
      </c>
      <c r="G31" s="2" t="s">
        <v>84</v>
      </c>
      <c r="H31" s="2" t="s">
        <v>1919</v>
      </c>
      <c r="I31" s="2" t="s">
        <v>77</v>
      </c>
      <c r="J31" s="2" t="s">
        <v>1920</v>
      </c>
      <c r="K31" s="2" t="s">
        <v>77</v>
      </c>
      <c r="L31" s="2" t="s">
        <v>1921</v>
      </c>
      <c r="M31" s="2" t="s">
        <v>77</v>
      </c>
      <c r="N31" s="2" t="s">
        <v>1922</v>
      </c>
      <c r="O31" s="2" t="s">
        <v>77</v>
      </c>
      <c r="P31" s="2" t="s">
        <v>1923</v>
      </c>
      <c r="Q31" s="2" t="s">
        <v>77</v>
      </c>
      <c r="R31" s="2" t="s">
        <v>658</v>
      </c>
      <c r="S31" s="2" t="s">
        <v>77</v>
      </c>
    </row>
    <row r="32" spans="1:19">
      <c r="A32" s="1" t="s">
        <v>21</v>
      </c>
      <c r="B32" s="2" t="s">
        <v>1924</v>
      </c>
      <c r="C32" s="2" t="s">
        <v>446</v>
      </c>
      <c r="D32" s="2" t="s">
        <v>1925</v>
      </c>
      <c r="E32" s="2" t="s">
        <v>276</v>
      </c>
      <c r="F32" s="2" t="s">
        <v>1926</v>
      </c>
      <c r="G32" s="2" t="s">
        <v>280</v>
      </c>
      <c r="H32" s="2" t="s">
        <v>1927</v>
      </c>
      <c r="I32" s="2" t="s">
        <v>280</v>
      </c>
      <c r="J32" s="2" t="s">
        <v>1928</v>
      </c>
      <c r="K32" s="2" t="s">
        <v>278</v>
      </c>
      <c r="L32" s="2" t="s">
        <v>1929</v>
      </c>
      <c r="M32" s="2" t="s">
        <v>302</v>
      </c>
      <c r="N32" s="2" t="s">
        <v>1930</v>
      </c>
      <c r="O32" s="2" t="s">
        <v>39</v>
      </c>
      <c r="P32" s="2" t="s">
        <v>1931</v>
      </c>
      <c r="Q32" s="2" t="s">
        <v>892</v>
      </c>
      <c r="R32" s="2" t="s">
        <v>675</v>
      </c>
      <c r="S32" s="2" t="s">
        <v>158</v>
      </c>
    </row>
    <row r="33" spans="1:19">
      <c r="A33" s="1" t="s">
        <v>28</v>
      </c>
      <c r="B33" s="2" t="s">
        <v>1932</v>
      </c>
      <c r="C33" s="2" t="s">
        <v>691</v>
      </c>
      <c r="D33" s="2" t="s">
        <v>1933</v>
      </c>
      <c r="E33" s="2" t="s">
        <v>84</v>
      </c>
      <c r="F33" s="2" t="s">
        <v>1934</v>
      </c>
      <c r="G33" s="2" t="s">
        <v>84</v>
      </c>
      <c r="H33" s="2" t="s">
        <v>1935</v>
      </c>
      <c r="I33" s="2" t="s">
        <v>84</v>
      </c>
      <c r="J33" s="2" t="s">
        <v>1936</v>
      </c>
      <c r="K33" s="2" t="s">
        <v>84</v>
      </c>
      <c r="L33" s="2" t="s">
        <v>1937</v>
      </c>
      <c r="M33" s="2" t="s">
        <v>84</v>
      </c>
      <c r="N33" s="2" t="s">
        <v>1938</v>
      </c>
      <c r="O33" s="2" t="s">
        <v>84</v>
      </c>
      <c r="P33" s="2" t="s">
        <v>1939</v>
      </c>
      <c r="Q33" s="2" t="s">
        <v>84</v>
      </c>
      <c r="R33" s="2" t="s">
        <v>692</v>
      </c>
      <c r="S33" s="2" t="s">
        <v>94</v>
      </c>
    </row>
    <row r="35" spans="1:19">
      <c r="A35" s="1" t="s">
        <v>1824</v>
      </c>
      <c r="B35" s="2">
        <v>5108</v>
      </c>
      <c r="D35" s="2">
        <v>5974</v>
      </c>
      <c r="F35" s="2">
        <v>5632</v>
      </c>
      <c r="H35" s="2">
        <v>5264</v>
      </c>
      <c r="J35" s="2">
        <v>4771</v>
      </c>
      <c r="L35" s="2">
        <v>4397</v>
      </c>
      <c r="N35" s="2">
        <v>3820</v>
      </c>
      <c r="P35" s="2">
        <v>3469</v>
      </c>
      <c r="R35" s="2">
        <v>2689</v>
      </c>
    </row>
  </sheetData>
  <sheetProtection selectLockedCells="1" selectUnlockedCells="1"/>
  <mergeCells count="9">
    <mergeCell ref="N3:O3"/>
    <mergeCell ref="P3:Q3"/>
    <mergeCell ref="R3:S3"/>
    <mergeCell ref="B3:C3"/>
    <mergeCell ref="D3:E3"/>
    <mergeCell ref="F3:G3"/>
    <mergeCell ref="H3:I3"/>
    <mergeCell ref="J3:K3"/>
    <mergeCell ref="L3:M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9" sqref="B19:N19"/>
    </sheetView>
  </sheetViews>
  <sheetFormatPr baseColWidth="10" defaultRowHeight="13.2"/>
  <cols>
    <col min="1" max="1" width="53.77734375" style="15" customWidth="1"/>
    <col min="2" max="2" width="9.77734375" style="4" customWidth="1"/>
    <col min="3" max="3" width="7.6640625" style="4" customWidth="1"/>
    <col min="4" max="4" width="9.77734375" style="4" customWidth="1"/>
    <col min="5" max="5" width="7.6640625" style="4" customWidth="1"/>
    <col min="6" max="6" width="9.77734375" style="4" customWidth="1"/>
    <col min="7" max="7" width="7.6640625" style="4" customWidth="1"/>
    <col min="8" max="8" width="9.77734375" style="4" customWidth="1"/>
    <col min="9" max="9" width="7.6640625" style="4" customWidth="1"/>
    <col min="10" max="10" width="9.77734375" style="4" customWidth="1"/>
    <col min="11" max="11" width="7.6640625" style="4" customWidth="1"/>
    <col min="12" max="12" width="9.77734375" style="4" customWidth="1"/>
    <col min="13" max="13" width="7.6640625" style="4" customWidth="1"/>
    <col min="14" max="14" width="9.77734375" style="4" customWidth="1"/>
    <col min="15" max="15" width="7.6640625" style="4" customWidth="1"/>
    <col min="16" max="256" width="9.77734375" style="4" customWidth="1"/>
    <col min="257" max="16384" width="11.5546875" style="4"/>
  </cols>
  <sheetData>
    <row r="1" spans="1:17">
      <c r="A1" s="42" t="s">
        <v>1940</v>
      </c>
      <c r="B1" s="42"/>
      <c r="C1" s="42"/>
      <c r="D1" s="42"/>
      <c r="E1" s="42"/>
      <c r="F1" s="42"/>
      <c r="G1" s="42"/>
    </row>
    <row r="3" spans="1:17" s="6" customFormat="1">
      <c r="B3" s="41" t="s">
        <v>1000</v>
      </c>
      <c r="C3" s="41"/>
      <c r="D3" s="41" t="s">
        <v>1016</v>
      </c>
      <c r="E3" s="41"/>
      <c r="F3" s="41" t="s">
        <v>1028</v>
      </c>
      <c r="G3" s="41"/>
      <c r="H3" s="41" t="s">
        <v>1036</v>
      </c>
      <c r="I3" s="41"/>
      <c r="J3" s="41" t="s">
        <v>1092</v>
      </c>
      <c r="K3" s="41"/>
      <c r="L3" s="41" t="s">
        <v>1046</v>
      </c>
      <c r="M3" s="41"/>
      <c r="N3" s="47" t="s">
        <v>1093</v>
      </c>
      <c r="O3" s="47"/>
    </row>
    <row r="4" spans="1:17">
      <c r="A4" s="15" t="s">
        <v>4</v>
      </c>
      <c r="B4" s="2">
        <v>7344</v>
      </c>
      <c r="C4" s="2"/>
      <c r="D4" s="2">
        <v>7376</v>
      </c>
      <c r="E4" s="2"/>
      <c r="F4" s="2">
        <v>7355</v>
      </c>
      <c r="G4" s="2"/>
      <c r="H4" s="2">
        <v>7464</v>
      </c>
      <c r="I4" s="2"/>
      <c r="J4" s="2">
        <v>7444</v>
      </c>
      <c r="K4" s="2"/>
      <c r="L4" s="2">
        <v>7584</v>
      </c>
      <c r="M4" s="2"/>
      <c r="N4" s="24">
        <v>7656</v>
      </c>
      <c r="O4" s="24"/>
    </row>
    <row r="5" spans="1:17">
      <c r="A5" s="15" t="s">
        <v>5</v>
      </c>
      <c r="B5" s="2">
        <v>41079</v>
      </c>
      <c r="C5" s="2"/>
      <c r="D5" s="2">
        <v>41498</v>
      </c>
      <c r="E5" s="2"/>
      <c r="F5" s="2">
        <v>41191</v>
      </c>
      <c r="G5" s="2"/>
      <c r="H5" s="2">
        <v>41000</v>
      </c>
      <c r="I5" s="2"/>
      <c r="J5" s="2">
        <v>40159</v>
      </c>
      <c r="K5" s="2"/>
      <c r="L5" s="2">
        <v>42862</v>
      </c>
      <c r="M5" s="2"/>
      <c r="N5" s="24">
        <v>43135</v>
      </c>
      <c r="O5" s="24"/>
      <c r="P5"/>
      <c r="Q5"/>
    </row>
    <row r="6" spans="1:17">
      <c r="A6" s="15" t="s">
        <v>6</v>
      </c>
      <c r="B6" s="2">
        <v>33526</v>
      </c>
      <c r="C6" s="2"/>
      <c r="D6" s="2">
        <v>33908</v>
      </c>
      <c r="E6" s="2"/>
      <c r="F6" s="2">
        <v>33621</v>
      </c>
      <c r="G6" s="2"/>
      <c r="H6" s="2">
        <v>33326</v>
      </c>
      <c r="I6" s="2"/>
      <c r="J6" s="2">
        <v>32541</v>
      </c>
      <c r="K6" s="2"/>
      <c r="L6" s="2">
        <v>34878</v>
      </c>
      <c r="M6" s="2"/>
      <c r="N6" s="24">
        <v>35022</v>
      </c>
      <c r="O6" s="24"/>
      <c r="P6"/>
      <c r="Q6"/>
    </row>
    <row r="7" spans="1:17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4"/>
      <c r="O7" s="24"/>
      <c r="P7"/>
      <c r="Q7"/>
    </row>
    <row r="8" spans="1:17">
      <c r="A8" s="15" t="s">
        <v>7</v>
      </c>
      <c r="B8" s="2" t="s">
        <v>1731</v>
      </c>
      <c r="C8" s="2" t="s">
        <v>39</v>
      </c>
      <c r="D8" s="2" t="s">
        <v>1941</v>
      </c>
      <c r="E8" s="2" t="s">
        <v>282</v>
      </c>
      <c r="F8" s="2" t="s">
        <v>1942</v>
      </c>
      <c r="G8" s="2" t="s">
        <v>537</v>
      </c>
      <c r="H8" s="2" t="s">
        <v>1284</v>
      </c>
      <c r="I8" s="2" t="s">
        <v>127</v>
      </c>
      <c r="J8" s="2" t="s">
        <v>1943</v>
      </c>
      <c r="K8" s="2" t="s">
        <v>363</v>
      </c>
      <c r="L8" s="2" t="s">
        <v>1944</v>
      </c>
      <c r="M8" s="2" t="s">
        <v>1392</v>
      </c>
      <c r="N8" s="24" t="s">
        <v>1945</v>
      </c>
      <c r="O8" s="24" t="s">
        <v>1206</v>
      </c>
      <c r="P8"/>
      <c r="Q8"/>
    </row>
    <row r="9" spans="1:17">
      <c r="A9" s="15" t="s">
        <v>14</v>
      </c>
      <c r="B9" s="2" t="s">
        <v>1739</v>
      </c>
      <c r="C9" s="2" t="s">
        <v>107</v>
      </c>
      <c r="D9" s="2" t="s">
        <v>1946</v>
      </c>
      <c r="E9" s="2" t="s">
        <v>1191</v>
      </c>
      <c r="F9" s="2" t="s">
        <v>1947</v>
      </c>
      <c r="G9" s="2" t="s">
        <v>107</v>
      </c>
      <c r="H9" s="2" t="s">
        <v>1948</v>
      </c>
      <c r="I9" s="2" t="s">
        <v>1191</v>
      </c>
      <c r="J9" s="2" t="s">
        <v>1949</v>
      </c>
      <c r="K9" s="2" t="s">
        <v>105</v>
      </c>
      <c r="L9" s="2" t="s">
        <v>1950</v>
      </c>
      <c r="M9" s="2" t="s">
        <v>1839</v>
      </c>
      <c r="N9" s="24" t="s">
        <v>1951</v>
      </c>
      <c r="O9" s="24" t="s">
        <v>1952</v>
      </c>
      <c r="P9"/>
      <c r="Q9"/>
    </row>
    <row r="10" spans="1:17">
      <c r="A10" s="15" t="s">
        <v>21</v>
      </c>
      <c r="B10" s="2" t="s">
        <v>1748</v>
      </c>
      <c r="C10" s="2" t="s">
        <v>363</v>
      </c>
      <c r="D10" s="2" t="s">
        <v>1953</v>
      </c>
      <c r="E10" s="2" t="s">
        <v>897</v>
      </c>
      <c r="F10" s="2" t="s">
        <v>1954</v>
      </c>
      <c r="G10" s="2" t="s">
        <v>366</v>
      </c>
      <c r="H10" s="2" t="s">
        <v>1955</v>
      </c>
      <c r="I10" s="2" t="s">
        <v>205</v>
      </c>
      <c r="J10" s="2" t="s">
        <v>1956</v>
      </c>
      <c r="K10" s="2" t="s">
        <v>16</v>
      </c>
      <c r="L10" s="2" t="s">
        <v>1957</v>
      </c>
      <c r="M10" s="2" t="s">
        <v>526</v>
      </c>
      <c r="N10" s="24" t="s">
        <v>1958</v>
      </c>
      <c r="O10" s="24" t="s">
        <v>46</v>
      </c>
      <c r="P10"/>
      <c r="Q10"/>
    </row>
    <row r="11" spans="1:17">
      <c r="A11" s="15" t="s">
        <v>28</v>
      </c>
      <c r="B11" s="2" t="s">
        <v>1756</v>
      </c>
      <c r="C11" s="2" t="s">
        <v>115</v>
      </c>
      <c r="D11" s="2" t="s">
        <v>1959</v>
      </c>
      <c r="E11" s="2" t="s">
        <v>115</v>
      </c>
      <c r="F11" s="2" t="s">
        <v>1960</v>
      </c>
      <c r="G11" s="2" t="s">
        <v>268</v>
      </c>
      <c r="H11" s="2" t="s">
        <v>1961</v>
      </c>
      <c r="I11" s="2" t="s">
        <v>268</v>
      </c>
      <c r="J11" s="2" t="s">
        <v>1962</v>
      </c>
      <c r="K11" s="2" t="s">
        <v>263</v>
      </c>
      <c r="L11" s="2" t="s">
        <v>1963</v>
      </c>
      <c r="M11" s="2" t="s">
        <v>18</v>
      </c>
      <c r="N11" s="24" t="s">
        <v>1964</v>
      </c>
      <c r="O11" s="24" t="s">
        <v>20</v>
      </c>
      <c r="P11"/>
      <c r="Q11"/>
    </row>
    <row r="12" spans="1:17">
      <c r="A12" s="15" t="s">
        <v>34</v>
      </c>
      <c r="B12" s="2" t="s">
        <v>1765</v>
      </c>
      <c r="C12" s="2" t="s">
        <v>1766</v>
      </c>
      <c r="D12" s="2" t="s">
        <v>1965</v>
      </c>
      <c r="E12" s="2" t="s">
        <v>1836</v>
      </c>
      <c r="F12" s="2" t="s">
        <v>1966</v>
      </c>
      <c r="G12" s="2" t="s">
        <v>1952</v>
      </c>
      <c r="H12" s="2" t="s">
        <v>1967</v>
      </c>
      <c r="I12" s="2" t="s">
        <v>1766</v>
      </c>
      <c r="J12" s="2" t="s">
        <v>1968</v>
      </c>
      <c r="K12" s="2" t="s">
        <v>1388</v>
      </c>
      <c r="L12" s="2" t="s">
        <v>1969</v>
      </c>
      <c r="M12" s="2" t="s">
        <v>20</v>
      </c>
      <c r="N12" s="24" t="s">
        <v>1970</v>
      </c>
      <c r="O12" s="24" t="s">
        <v>18</v>
      </c>
      <c r="P12"/>
      <c r="Q12"/>
    </row>
    <row r="13" spans="1:17">
      <c r="A13" s="15" t="s">
        <v>40</v>
      </c>
      <c r="B13" s="2" t="s">
        <v>1773</v>
      </c>
      <c r="C13" s="2" t="s">
        <v>304</v>
      </c>
      <c r="D13" s="2" t="s">
        <v>1971</v>
      </c>
      <c r="E13" s="2" t="s">
        <v>371</v>
      </c>
      <c r="F13" s="2" t="s">
        <v>1972</v>
      </c>
      <c r="G13" s="2" t="s">
        <v>39</v>
      </c>
      <c r="H13" s="2" t="s">
        <v>1973</v>
      </c>
      <c r="I13" s="2" t="s">
        <v>892</v>
      </c>
      <c r="J13" s="2" t="s">
        <v>1974</v>
      </c>
      <c r="K13" s="2" t="s">
        <v>304</v>
      </c>
      <c r="L13" s="2" t="s">
        <v>1975</v>
      </c>
      <c r="M13" s="2" t="s">
        <v>42</v>
      </c>
      <c r="N13" s="24" t="s">
        <v>1976</v>
      </c>
      <c r="O13" s="24" t="s">
        <v>101</v>
      </c>
      <c r="P13"/>
      <c r="Q13"/>
    </row>
    <row r="14" spans="1:1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4"/>
      <c r="O14" s="24"/>
      <c r="P14"/>
      <c r="Q14"/>
    </row>
    <row r="15" spans="1:17">
      <c r="A15" s="15" t="s">
        <v>47</v>
      </c>
      <c r="B15" s="2">
        <v>5068</v>
      </c>
      <c r="C15" s="2"/>
      <c r="D15" s="2">
        <v>5209</v>
      </c>
      <c r="E15" s="2"/>
      <c r="F15" s="2">
        <v>5105</v>
      </c>
      <c r="G15" s="2"/>
      <c r="H15" s="2">
        <v>5013</v>
      </c>
      <c r="I15" s="2"/>
      <c r="J15" s="2">
        <v>4753</v>
      </c>
      <c r="K15" s="2"/>
      <c r="L15" s="2">
        <v>5528</v>
      </c>
      <c r="M15" s="2"/>
      <c r="N15" s="24">
        <v>5566</v>
      </c>
      <c r="O15" s="24"/>
      <c r="P15"/>
      <c r="Q15"/>
    </row>
    <row r="16" spans="1:17">
      <c r="A16" s="15" t="s">
        <v>48</v>
      </c>
      <c r="B16" s="2">
        <f xml:space="preserve"> 5068/7344</f>
        <v>0.69008714596949894</v>
      </c>
      <c r="C16" s="10">
        <v>0.69</v>
      </c>
      <c r="D16" s="2">
        <f>5209/7376</f>
        <v>0.70620932754880694</v>
      </c>
      <c r="E16" s="10" t="s">
        <v>1434</v>
      </c>
      <c r="F16" s="2">
        <f>5105/7355</f>
        <v>0.69408565601631544</v>
      </c>
      <c r="G16" s="10" t="s">
        <v>1428</v>
      </c>
      <c r="H16" s="2">
        <f>5013/7464</f>
        <v>0.67162379421221863</v>
      </c>
      <c r="I16" s="10" t="s">
        <v>1977</v>
      </c>
      <c r="J16" s="2">
        <f>4753/7444</f>
        <v>0.63850080601826975</v>
      </c>
      <c r="K16" s="10" t="s">
        <v>54</v>
      </c>
      <c r="L16" s="2">
        <f>5528/7584</f>
        <v>0.72890295358649793</v>
      </c>
      <c r="M16" s="10" t="s">
        <v>1978</v>
      </c>
      <c r="N16" s="24">
        <f>5566/7656</f>
        <v>0.72701149425287359</v>
      </c>
      <c r="O16" s="25" t="s">
        <v>1225</v>
      </c>
      <c r="P16"/>
      <c r="Q16"/>
    </row>
    <row r="17" spans="1:17">
      <c r="A17" s="15" t="s">
        <v>55</v>
      </c>
      <c r="B17" s="2">
        <f xml:space="preserve"> 5068/6795</f>
        <v>0.74584253127299482</v>
      </c>
      <c r="C17" s="10" t="s">
        <v>1781</v>
      </c>
      <c r="D17" s="2">
        <f>5209/6795</f>
        <v>0.76659308314937458</v>
      </c>
      <c r="E17" s="10" t="s">
        <v>1139</v>
      </c>
      <c r="F17" s="2">
        <f>5105/6795</f>
        <v>0.7512877115526122</v>
      </c>
      <c r="G17" s="10" t="s">
        <v>1443</v>
      </c>
      <c r="H17" s="2">
        <f>5013/6795</f>
        <v>0.7377483443708609</v>
      </c>
      <c r="I17" s="10" t="s">
        <v>1444</v>
      </c>
      <c r="J17" s="2">
        <f>4753/6795</f>
        <v>0.69948491537895507</v>
      </c>
      <c r="K17" s="10" t="s">
        <v>1980</v>
      </c>
      <c r="L17" s="2">
        <f>5528/6795</f>
        <v>0.81353936718175124</v>
      </c>
      <c r="M17" s="10" t="s">
        <v>1981</v>
      </c>
      <c r="N17" s="24">
        <f>5566/6795</f>
        <v>0.8191317144959529</v>
      </c>
      <c r="O17" s="25" t="s">
        <v>1983</v>
      </c>
      <c r="P17"/>
      <c r="Q17"/>
    </row>
    <row r="18" spans="1:17">
      <c r="A18" s="15" t="s">
        <v>62</v>
      </c>
      <c r="B18" s="2" t="s">
        <v>1784</v>
      </c>
      <c r="C18" s="10" t="s">
        <v>1449</v>
      </c>
      <c r="D18" s="2" t="s">
        <v>1984</v>
      </c>
      <c r="E18" s="10" t="s">
        <v>1985</v>
      </c>
      <c r="F18" s="2" t="s">
        <v>1986</v>
      </c>
      <c r="G18" s="10" t="s">
        <v>1987</v>
      </c>
      <c r="H18" s="2" t="s">
        <v>1988</v>
      </c>
      <c r="I18" s="10" t="s">
        <v>1138</v>
      </c>
      <c r="J18" s="2" t="s">
        <v>1989</v>
      </c>
      <c r="K18" s="10" t="s">
        <v>1664</v>
      </c>
      <c r="L18" s="2" t="s">
        <v>1990</v>
      </c>
      <c r="M18" s="10">
        <v>0.83</v>
      </c>
      <c r="N18" s="24" t="s">
        <v>1991</v>
      </c>
      <c r="O18" s="25" t="s">
        <v>1992</v>
      </c>
      <c r="P18"/>
      <c r="Q18"/>
    </row>
    <row r="19" spans="1:17">
      <c r="B19" s="2">
        <f>B17*B16</f>
        <v>0.51469634374884776</v>
      </c>
      <c r="C19" s="2"/>
      <c r="D19" s="2">
        <f>D17*D16</f>
        <v>0.54137518575448651</v>
      </c>
      <c r="E19" s="2"/>
      <c r="F19" s="2">
        <f>F17*F16</f>
        <v>0.5214580241299912</v>
      </c>
      <c r="G19" s="2"/>
      <c r="H19" s="2">
        <f>H17*H16</f>
        <v>0.49548934222014007</v>
      </c>
      <c r="I19" s="2"/>
      <c r="J19" s="2">
        <f>J17*J16</f>
        <v>0.44662168226708404</v>
      </c>
      <c r="K19" s="2"/>
      <c r="L19" s="2">
        <f>L17*L16</f>
        <v>0.59299124759766897</v>
      </c>
      <c r="M19" s="2"/>
      <c r="N19" s="2">
        <f>N17*N16</f>
        <v>0.59551817174562094</v>
      </c>
      <c r="O19" s="24"/>
      <c r="P19"/>
      <c r="Q19"/>
    </row>
    <row r="20" spans="1:1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4"/>
      <c r="O20" s="24"/>
      <c r="P20"/>
      <c r="Q20"/>
    </row>
    <row r="21" spans="1:17">
      <c r="A21" s="15" t="s">
        <v>69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4"/>
      <c r="O21" s="24"/>
      <c r="P21"/>
      <c r="Q21"/>
    </row>
    <row r="22" spans="1:1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4"/>
      <c r="O22" s="24"/>
      <c r="P22"/>
      <c r="Q22"/>
    </row>
    <row r="23" spans="1:17">
      <c r="A23" s="15" t="s">
        <v>70</v>
      </c>
      <c r="B23" s="2">
        <v>6890</v>
      </c>
      <c r="C23" s="2"/>
      <c r="D23" s="2">
        <v>6874</v>
      </c>
      <c r="E23" s="2"/>
      <c r="F23" s="2">
        <v>6870</v>
      </c>
      <c r="G23" s="2"/>
      <c r="H23" s="2">
        <v>6925</v>
      </c>
      <c r="I23" s="2"/>
      <c r="J23" s="2">
        <v>6982</v>
      </c>
      <c r="K23" s="2"/>
      <c r="L23" s="2">
        <v>6933</v>
      </c>
      <c r="M23" s="2"/>
      <c r="N23" s="24">
        <v>6953</v>
      </c>
      <c r="O23" s="24"/>
      <c r="P23"/>
      <c r="Q23"/>
    </row>
    <row r="24" spans="1:17">
      <c r="A24" s="15" t="s">
        <v>71</v>
      </c>
      <c r="B24" s="2">
        <v>6557</v>
      </c>
      <c r="C24" s="2"/>
      <c r="D24" s="2">
        <v>6580</v>
      </c>
      <c r="E24" s="2"/>
      <c r="F24" s="2">
        <v>6573</v>
      </c>
      <c r="G24" s="2"/>
      <c r="H24" s="2">
        <v>6559</v>
      </c>
      <c r="I24" s="2"/>
      <c r="J24" s="2">
        <v>6532</v>
      </c>
      <c r="K24" s="2"/>
      <c r="L24" s="2">
        <v>6657</v>
      </c>
      <c r="M24" s="2"/>
      <c r="N24" s="24">
        <v>6666</v>
      </c>
      <c r="O24" s="24"/>
      <c r="P24"/>
      <c r="Q24"/>
    </row>
    <row r="25" spans="1:17">
      <c r="A25" s="15" t="s">
        <v>72</v>
      </c>
      <c r="B25" s="2">
        <v>40278</v>
      </c>
      <c r="C25" s="2"/>
      <c r="D25" s="2">
        <v>40623</v>
      </c>
      <c r="E25" s="2"/>
      <c r="F25" s="2">
        <v>40358</v>
      </c>
      <c r="G25" s="2"/>
      <c r="H25" s="2">
        <v>40114</v>
      </c>
      <c r="I25" s="2"/>
      <c r="J25" s="2">
        <v>39386</v>
      </c>
      <c r="K25" s="2"/>
      <c r="L25" s="2">
        <v>41769</v>
      </c>
      <c r="M25" s="2"/>
      <c r="N25" s="24">
        <v>41958</v>
      </c>
      <c r="O25" s="24"/>
      <c r="P25"/>
      <c r="Q25"/>
    </row>
    <row r="26" spans="1:17">
      <c r="A26" s="15" t="s">
        <v>73</v>
      </c>
      <c r="B26" s="2">
        <v>33181</v>
      </c>
      <c r="C26" s="2"/>
      <c r="D26" s="2">
        <v>33536</v>
      </c>
      <c r="E26" s="2"/>
      <c r="F26" s="2">
        <v>33276</v>
      </c>
      <c r="G26" s="2"/>
      <c r="H26" s="2">
        <v>32981</v>
      </c>
      <c r="I26" s="2"/>
      <c r="J26" s="2">
        <v>32237</v>
      </c>
      <c r="K26" s="2"/>
      <c r="L26" s="2">
        <v>34442</v>
      </c>
      <c r="M26" s="2"/>
      <c r="N26" s="24">
        <v>34560</v>
      </c>
      <c r="O26" s="24"/>
      <c r="P26"/>
      <c r="Q26"/>
    </row>
    <row r="27" spans="1:17">
      <c r="A27" s="15" t="s">
        <v>74</v>
      </c>
      <c r="B27" s="2">
        <v>42475</v>
      </c>
      <c r="C27" s="2"/>
      <c r="D27" s="2">
        <v>42581</v>
      </c>
      <c r="E27" s="2"/>
      <c r="F27" s="2">
        <v>42552</v>
      </c>
      <c r="G27" s="2"/>
      <c r="H27" s="2">
        <v>42481</v>
      </c>
      <c r="I27" s="2"/>
      <c r="J27" s="2">
        <v>42381</v>
      </c>
      <c r="K27" s="2"/>
      <c r="L27" s="2">
        <v>42931</v>
      </c>
      <c r="M27" s="2"/>
      <c r="N27" s="24">
        <v>42968</v>
      </c>
      <c r="O27" s="24"/>
      <c r="P27"/>
      <c r="Q27"/>
    </row>
    <row r="28" spans="1:17">
      <c r="A28" s="15" t="s">
        <v>75</v>
      </c>
      <c r="B28" s="2">
        <v>35681</v>
      </c>
      <c r="C28" s="2"/>
      <c r="D28" s="2">
        <v>35759</v>
      </c>
      <c r="E28" s="2"/>
      <c r="F28" s="2">
        <v>35738</v>
      </c>
      <c r="G28" s="2"/>
      <c r="H28" s="2">
        <v>35683</v>
      </c>
      <c r="I28" s="2"/>
      <c r="J28" s="2">
        <v>35610</v>
      </c>
      <c r="K28" s="2"/>
      <c r="L28" s="2">
        <v>36028</v>
      </c>
      <c r="M28" s="2"/>
      <c r="N28" s="24">
        <v>36055</v>
      </c>
      <c r="O28" s="24"/>
      <c r="P28"/>
      <c r="Q28"/>
    </row>
    <row r="29" spans="1:1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4"/>
      <c r="O29" s="24"/>
      <c r="P29"/>
      <c r="Q29"/>
    </row>
    <row r="30" spans="1:17">
      <c r="A30" s="15" t="s">
        <v>7</v>
      </c>
      <c r="B30" s="2" t="s">
        <v>1794</v>
      </c>
      <c r="C30" s="2" t="s">
        <v>1158</v>
      </c>
      <c r="D30" s="2" t="s">
        <v>1993</v>
      </c>
      <c r="E30" s="2" t="s">
        <v>1394</v>
      </c>
      <c r="F30" s="2" t="s">
        <v>1994</v>
      </c>
      <c r="G30" s="2" t="s">
        <v>1158</v>
      </c>
      <c r="H30" s="2" t="s">
        <v>1995</v>
      </c>
      <c r="I30" s="2" t="s">
        <v>46</v>
      </c>
      <c r="J30" s="2" t="s">
        <v>1996</v>
      </c>
      <c r="K30" s="2" t="s">
        <v>304</v>
      </c>
      <c r="L30" s="2" t="s">
        <v>1997</v>
      </c>
      <c r="M30" s="2" t="s">
        <v>1841</v>
      </c>
      <c r="N30" s="24" t="s">
        <v>1998</v>
      </c>
      <c r="O30" s="24" t="s">
        <v>1844</v>
      </c>
      <c r="P30"/>
      <c r="Q30"/>
    </row>
    <row r="31" spans="1:17">
      <c r="A31" s="15" t="s">
        <v>14</v>
      </c>
      <c r="B31" s="2" t="s">
        <v>1802</v>
      </c>
      <c r="C31" s="2" t="s">
        <v>84</v>
      </c>
      <c r="D31" s="2" t="s">
        <v>1999</v>
      </c>
      <c r="E31" s="2" t="s">
        <v>84</v>
      </c>
      <c r="F31" s="2" t="s">
        <v>2000</v>
      </c>
      <c r="G31" s="2" t="s">
        <v>84</v>
      </c>
      <c r="H31" s="2" t="s">
        <v>2001</v>
      </c>
      <c r="I31" s="2" t="s">
        <v>84</v>
      </c>
      <c r="J31" s="2" t="s">
        <v>2002</v>
      </c>
      <c r="K31" s="2" t="s">
        <v>77</v>
      </c>
      <c r="L31" s="2" t="s">
        <v>2003</v>
      </c>
      <c r="M31" s="2" t="s">
        <v>94</v>
      </c>
      <c r="N31" s="24" t="s">
        <v>2004</v>
      </c>
      <c r="O31" s="24" t="s">
        <v>94</v>
      </c>
      <c r="P31"/>
      <c r="Q31"/>
    </row>
    <row r="32" spans="1:17">
      <c r="A32" s="15" t="s">
        <v>21</v>
      </c>
      <c r="B32" s="2" t="s">
        <v>1810</v>
      </c>
      <c r="C32" s="2" t="s">
        <v>80</v>
      </c>
      <c r="D32" s="2" t="s">
        <v>2005</v>
      </c>
      <c r="E32" s="2" t="s">
        <v>149</v>
      </c>
      <c r="F32" s="2" t="s">
        <v>2006</v>
      </c>
      <c r="G32" s="2" t="s">
        <v>82</v>
      </c>
      <c r="H32" s="2" t="s">
        <v>2007</v>
      </c>
      <c r="I32" s="2" t="s">
        <v>892</v>
      </c>
      <c r="J32" s="2" t="s">
        <v>2008</v>
      </c>
      <c r="K32" s="2" t="s">
        <v>201</v>
      </c>
      <c r="L32" s="2" t="s">
        <v>2009</v>
      </c>
      <c r="M32" s="2" t="s">
        <v>44</v>
      </c>
      <c r="N32" s="24" t="s">
        <v>2010</v>
      </c>
      <c r="O32" s="24" t="s">
        <v>1376</v>
      </c>
      <c r="P32"/>
      <c r="Q32"/>
    </row>
    <row r="33" spans="1:17">
      <c r="A33" s="15" t="s">
        <v>28</v>
      </c>
      <c r="B33" s="2" t="s">
        <v>1818</v>
      </c>
      <c r="C33" s="2" t="s">
        <v>84</v>
      </c>
      <c r="D33" s="2" t="s">
        <v>2011</v>
      </c>
      <c r="E33" s="2" t="s">
        <v>84</v>
      </c>
      <c r="F33" s="2" t="s">
        <v>2012</v>
      </c>
      <c r="G33" s="2" t="s">
        <v>84</v>
      </c>
      <c r="H33" s="2" t="s">
        <v>2013</v>
      </c>
      <c r="I33" s="2" t="s">
        <v>84</v>
      </c>
      <c r="J33" s="2" t="s">
        <v>2014</v>
      </c>
      <c r="K33" s="2" t="s">
        <v>84</v>
      </c>
      <c r="L33" s="2" t="s">
        <v>2015</v>
      </c>
      <c r="M33" s="2" t="s">
        <v>94</v>
      </c>
      <c r="N33" s="24" t="s">
        <v>2016</v>
      </c>
      <c r="O33" s="24" t="s">
        <v>691</v>
      </c>
      <c r="P33"/>
      <c r="Q33"/>
    </row>
    <row r="34" spans="1:17">
      <c r="L34"/>
      <c r="M34"/>
      <c r="N34"/>
      <c r="O34"/>
      <c r="P34"/>
      <c r="Q34"/>
    </row>
    <row r="35" spans="1:17">
      <c r="N35"/>
      <c r="P35"/>
      <c r="Q35"/>
    </row>
    <row r="36" spans="1:17">
      <c r="A36" s="1" t="s">
        <v>1178</v>
      </c>
      <c r="N36"/>
    </row>
    <row r="37" spans="1:17">
      <c r="A37" s="1" t="s">
        <v>1179</v>
      </c>
      <c r="M37"/>
      <c r="N37"/>
    </row>
  </sheetData>
  <sheetProtection selectLockedCells="1" selectUnlockedCells="1"/>
  <mergeCells count="8">
    <mergeCell ref="L3:M3"/>
    <mergeCell ref="N3:O3"/>
    <mergeCell ref="A1:G1"/>
    <mergeCell ref="B3:C3"/>
    <mergeCell ref="D3:E3"/>
    <mergeCell ref="F3:G3"/>
    <mergeCell ref="H3:I3"/>
    <mergeCell ref="J3:K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3.2"/>
  <cols>
    <col min="1" max="1" width="51.109375" style="1" customWidth="1"/>
    <col min="2" max="2" width="9.77734375" style="2" customWidth="1"/>
    <col min="3" max="3" width="7.6640625" style="2" customWidth="1"/>
    <col min="4" max="4" width="9.77734375" style="2" customWidth="1"/>
    <col min="5" max="5" width="7.6640625" style="2" customWidth="1"/>
    <col min="6" max="6" width="9.77734375" style="2" customWidth="1"/>
    <col min="7" max="7" width="7.6640625" style="2" customWidth="1"/>
    <col min="8" max="8" width="9.77734375" style="2" customWidth="1"/>
    <col min="9" max="9" width="7.6640625" style="2" customWidth="1"/>
    <col min="10" max="256" width="9.77734375" style="2" customWidth="1"/>
    <col min="257" max="16384" width="11.5546875" style="2"/>
  </cols>
  <sheetData>
    <row r="1" spans="1:11">
      <c r="A1" s="42" t="s">
        <v>2017</v>
      </c>
      <c r="B1" s="42"/>
      <c r="C1" s="42"/>
      <c r="D1" s="42"/>
      <c r="E1" s="42"/>
      <c r="F1" s="42"/>
      <c r="G1" s="42"/>
    </row>
    <row r="3" spans="1:11" s="5" customFormat="1">
      <c r="B3" s="41" t="s">
        <v>1000</v>
      </c>
      <c r="C3" s="41"/>
      <c r="D3" s="41" t="s">
        <v>1016</v>
      </c>
      <c r="E3" s="41"/>
      <c r="F3" s="41" t="s">
        <v>1028</v>
      </c>
      <c r="G3" s="41"/>
      <c r="H3" s="41" t="s">
        <v>1036</v>
      </c>
      <c r="I3" s="41"/>
      <c r="J3" s="47" t="s">
        <v>1046</v>
      </c>
      <c r="K3" s="47"/>
    </row>
    <row r="4" spans="1:11">
      <c r="A4" s="1" t="s">
        <v>4</v>
      </c>
      <c r="B4" s="2">
        <v>7455</v>
      </c>
      <c r="D4" s="2">
        <v>7258</v>
      </c>
      <c r="F4" s="2">
        <v>7555</v>
      </c>
      <c r="H4" s="2">
        <v>7337</v>
      </c>
      <c r="J4" s="24">
        <v>7561</v>
      </c>
      <c r="K4" s="24"/>
    </row>
    <row r="5" spans="1:11">
      <c r="A5" s="1" t="s">
        <v>5</v>
      </c>
      <c r="B5" s="2">
        <v>41678</v>
      </c>
      <c r="D5" s="2">
        <v>40439</v>
      </c>
      <c r="F5" s="2">
        <v>41446</v>
      </c>
      <c r="H5" s="2">
        <v>40439</v>
      </c>
      <c r="J5" s="24">
        <v>42733</v>
      </c>
      <c r="K5" s="24"/>
    </row>
    <row r="6" spans="1:11">
      <c r="A6" s="1" t="s">
        <v>6</v>
      </c>
      <c r="B6" s="2">
        <v>33996</v>
      </c>
      <c r="D6" s="2">
        <v>32982</v>
      </c>
      <c r="F6" s="2">
        <v>33640</v>
      </c>
      <c r="H6" s="2">
        <v>32905</v>
      </c>
      <c r="J6" s="24">
        <v>34740</v>
      </c>
      <c r="K6" s="24"/>
    </row>
    <row r="7" spans="1:11">
      <c r="J7" s="24"/>
      <c r="K7" s="24"/>
    </row>
    <row r="8" spans="1:11">
      <c r="A8" s="1" t="s">
        <v>7</v>
      </c>
      <c r="B8" s="2" t="s">
        <v>1828</v>
      </c>
      <c r="C8" s="2" t="s">
        <v>526</v>
      </c>
      <c r="D8" s="2" t="s">
        <v>2018</v>
      </c>
      <c r="E8" s="2" t="s">
        <v>1273</v>
      </c>
      <c r="F8" s="2" t="s">
        <v>2019</v>
      </c>
      <c r="G8" s="2" t="s">
        <v>149</v>
      </c>
      <c r="H8" s="2" t="s">
        <v>2020</v>
      </c>
      <c r="I8" s="2" t="s">
        <v>1273</v>
      </c>
      <c r="J8" s="24" t="s">
        <v>2021</v>
      </c>
      <c r="K8" s="24" t="s">
        <v>1388</v>
      </c>
    </row>
    <row r="9" spans="1:11">
      <c r="A9" s="1" t="s">
        <v>14</v>
      </c>
      <c r="B9" s="2" t="s">
        <v>1837</v>
      </c>
      <c r="C9" s="2" t="s">
        <v>1836</v>
      </c>
      <c r="D9" s="2" t="s">
        <v>2022</v>
      </c>
      <c r="E9" s="2" t="s">
        <v>1846</v>
      </c>
      <c r="F9" s="2" t="s">
        <v>2023</v>
      </c>
      <c r="G9" s="2" t="s">
        <v>1952</v>
      </c>
      <c r="H9" s="2" t="s">
        <v>2024</v>
      </c>
      <c r="I9" s="2" t="s">
        <v>1844</v>
      </c>
      <c r="J9" s="24" t="s">
        <v>2025</v>
      </c>
      <c r="K9" s="24" t="s">
        <v>1766</v>
      </c>
    </row>
    <row r="10" spans="1:11">
      <c r="A10" s="1" t="s">
        <v>21</v>
      </c>
      <c r="B10" s="2" t="s">
        <v>1849</v>
      </c>
      <c r="C10" s="2" t="s">
        <v>127</v>
      </c>
      <c r="D10" s="2" t="s">
        <v>2026</v>
      </c>
      <c r="E10" s="2" t="s">
        <v>119</v>
      </c>
      <c r="F10" s="2" t="s">
        <v>2027</v>
      </c>
      <c r="G10" s="2" t="s">
        <v>958</v>
      </c>
      <c r="H10" s="2" t="s">
        <v>2028</v>
      </c>
      <c r="I10" s="2" t="s">
        <v>408</v>
      </c>
      <c r="J10" s="24" t="s">
        <v>2029</v>
      </c>
      <c r="K10" s="24" t="s">
        <v>271</v>
      </c>
    </row>
    <row r="11" spans="1:11">
      <c r="A11" s="1" t="s">
        <v>28</v>
      </c>
      <c r="B11" s="2" t="s">
        <v>1858</v>
      </c>
      <c r="C11" s="2" t="s">
        <v>18</v>
      </c>
      <c r="D11" s="2" t="s">
        <v>2030</v>
      </c>
      <c r="E11" s="2" t="s">
        <v>515</v>
      </c>
      <c r="F11" s="2" t="s">
        <v>2031</v>
      </c>
      <c r="G11" s="2" t="s">
        <v>20</v>
      </c>
      <c r="H11" s="2" t="s">
        <v>2032</v>
      </c>
      <c r="I11" s="2" t="s">
        <v>1856</v>
      </c>
      <c r="J11" s="24" t="s">
        <v>2033</v>
      </c>
      <c r="K11" s="24" t="s">
        <v>216</v>
      </c>
    </row>
    <row r="12" spans="1:11">
      <c r="A12" s="1" t="s">
        <v>34</v>
      </c>
      <c r="B12" s="2" t="s">
        <v>1866</v>
      </c>
      <c r="C12" s="2" t="s">
        <v>209</v>
      </c>
      <c r="D12" s="2" t="s">
        <v>2034</v>
      </c>
      <c r="E12" s="2" t="s">
        <v>1764</v>
      </c>
      <c r="F12" s="2" t="s">
        <v>2035</v>
      </c>
      <c r="G12" s="2" t="s">
        <v>225</v>
      </c>
      <c r="H12" s="2" t="s">
        <v>2036</v>
      </c>
      <c r="I12" s="2" t="s">
        <v>1764</v>
      </c>
      <c r="J12" s="24" t="s">
        <v>2037</v>
      </c>
      <c r="K12" s="24" t="s">
        <v>515</v>
      </c>
    </row>
    <row r="13" spans="1:11">
      <c r="A13" s="1" t="s">
        <v>40</v>
      </c>
      <c r="B13" s="2" t="s">
        <v>1874</v>
      </c>
      <c r="C13" s="2" t="s">
        <v>201</v>
      </c>
      <c r="D13" s="2" t="s">
        <v>2038</v>
      </c>
      <c r="E13" s="2" t="s">
        <v>629</v>
      </c>
      <c r="F13" s="2" t="s">
        <v>2039</v>
      </c>
      <c r="G13" s="2" t="s">
        <v>101</v>
      </c>
      <c r="H13" s="2" t="s">
        <v>2040</v>
      </c>
      <c r="I13" s="2" t="s">
        <v>419</v>
      </c>
      <c r="J13" s="24" t="s">
        <v>2041</v>
      </c>
      <c r="K13" s="24" t="s">
        <v>451</v>
      </c>
    </row>
    <row r="14" spans="1:11">
      <c r="J14" s="24"/>
      <c r="K14" s="24"/>
    </row>
    <row r="15" spans="1:11">
      <c r="A15" s="1" t="s">
        <v>47</v>
      </c>
      <c r="B15" s="2">
        <v>5110</v>
      </c>
      <c r="D15" s="2">
        <v>4760</v>
      </c>
      <c r="F15" s="2">
        <v>4955</v>
      </c>
      <c r="H15" s="2">
        <v>4747</v>
      </c>
      <c r="J15" s="24">
        <v>5428</v>
      </c>
      <c r="K15" s="24"/>
    </row>
    <row r="16" spans="1:11">
      <c r="A16" s="1" t="s">
        <v>48</v>
      </c>
      <c r="B16" s="2" t="s">
        <v>1882</v>
      </c>
      <c r="C16" s="10" t="s">
        <v>1429</v>
      </c>
      <c r="D16" s="2" t="s">
        <v>2042</v>
      </c>
      <c r="E16" s="10" t="s">
        <v>1641</v>
      </c>
      <c r="F16" s="2" t="s">
        <v>2043</v>
      </c>
      <c r="G16" s="10" t="s">
        <v>1641</v>
      </c>
      <c r="H16" s="2" t="s">
        <v>2044</v>
      </c>
      <c r="I16" s="10" t="s">
        <v>789</v>
      </c>
      <c r="J16" s="24" t="s">
        <v>2045</v>
      </c>
      <c r="K16" s="25" t="s">
        <v>2046</v>
      </c>
    </row>
    <row r="17" spans="1:11">
      <c r="A17" s="1" t="s">
        <v>1215</v>
      </c>
      <c r="B17" s="2" t="s">
        <v>1891</v>
      </c>
      <c r="C17" s="10">
        <v>0.77</v>
      </c>
      <c r="D17" s="2" t="s">
        <v>1665</v>
      </c>
      <c r="E17" s="10" t="s">
        <v>1666</v>
      </c>
      <c r="F17" s="2" t="s">
        <v>2047</v>
      </c>
      <c r="G17" s="10" t="s">
        <v>1781</v>
      </c>
      <c r="H17" s="2" t="s">
        <v>2048</v>
      </c>
      <c r="I17" s="10" t="s">
        <v>351</v>
      </c>
      <c r="J17" s="24" t="s">
        <v>2049</v>
      </c>
      <c r="K17" s="25" t="s">
        <v>2050</v>
      </c>
    </row>
    <row r="18" spans="1:11">
      <c r="A18" s="1" t="s">
        <v>599</v>
      </c>
      <c r="B18" s="2" t="s">
        <v>1900</v>
      </c>
      <c r="C18" s="10" t="s">
        <v>1475</v>
      </c>
      <c r="D18" s="2" t="s">
        <v>2051</v>
      </c>
      <c r="E18" s="10" t="s">
        <v>2052</v>
      </c>
      <c r="F18" s="2" t="s">
        <v>2053</v>
      </c>
      <c r="G18" s="10" t="s">
        <v>1455</v>
      </c>
      <c r="H18" s="2" t="s">
        <v>2054</v>
      </c>
      <c r="I18" s="10">
        <v>0.74</v>
      </c>
      <c r="J18" s="24" t="s">
        <v>2055</v>
      </c>
      <c r="K18" s="25" t="s">
        <v>2056</v>
      </c>
    </row>
    <row r="19" spans="1:11">
      <c r="J19" s="24"/>
      <c r="K19" s="24"/>
    </row>
    <row r="20" spans="1:11">
      <c r="J20" s="24"/>
      <c r="K20" s="24"/>
    </row>
    <row r="21" spans="1:11">
      <c r="A21" s="1" t="s">
        <v>69</v>
      </c>
      <c r="J21" s="24"/>
      <c r="K21" s="24"/>
    </row>
    <row r="22" spans="1:11">
      <c r="J22" s="24"/>
      <c r="K22" s="24"/>
    </row>
    <row r="23" spans="1:11">
      <c r="A23" s="1" t="s">
        <v>70</v>
      </c>
      <c r="B23" s="2">
        <v>6786</v>
      </c>
      <c r="D23" s="2">
        <v>6700</v>
      </c>
      <c r="F23" s="2">
        <v>6857</v>
      </c>
      <c r="H23" s="2">
        <v>6740</v>
      </c>
      <c r="J23" s="24">
        <v>6799</v>
      </c>
      <c r="K23" s="24"/>
    </row>
    <row r="24" spans="1:11">
      <c r="A24" s="1" t="s">
        <v>71</v>
      </c>
      <c r="B24" s="2">
        <v>6490</v>
      </c>
      <c r="D24" s="2">
        <v>6412</v>
      </c>
      <c r="F24" s="2">
        <v>6479</v>
      </c>
      <c r="H24" s="2">
        <v>6416</v>
      </c>
      <c r="J24" s="24">
        <v>6523</v>
      </c>
      <c r="K24" s="24"/>
    </row>
    <row r="25" spans="1:11">
      <c r="A25" s="1" t="s">
        <v>72</v>
      </c>
      <c r="B25" s="2">
        <v>40525</v>
      </c>
      <c r="D25" s="2">
        <v>39495</v>
      </c>
      <c r="F25" s="2">
        <v>40259</v>
      </c>
      <c r="H25" s="2">
        <v>39450</v>
      </c>
      <c r="J25" s="24">
        <v>41437</v>
      </c>
      <c r="K25" s="24"/>
    </row>
    <row r="26" spans="1:11">
      <c r="A26" s="1" t="s">
        <v>73</v>
      </c>
      <c r="B26" s="2">
        <v>33515</v>
      </c>
      <c r="D26" s="2">
        <v>32602</v>
      </c>
      <c r="F26" s="2">
        <v>33156</v>
      </c>
      <c r="H26" s="2">
        <v>32516</v>
      </c>
      <c r="J26" s="24">
        <v>34217</v>
      </c>
      <c r="K26" s="24"/>
    </row>
    <row r="27" spans="1:11">
      <c r="A27" s="1" t="s">
        <v>74</v>
      </c>
      <c r="B27" s="2">
        <v>42081</v>
      </c>
      <c r="D27" s="2">
        <v>41646</v>
      </c>
      <c r="F27" s="2">
        <v>42038</v>
      </c>
      <c r="H27" s="2">
        <v>41645</v>
      </c>
      <c r="J27" s="24">
        <v>42256</v>
      </c>
      <c r="K27" s="24"/>
    </row>
    <row r="28" spans="1:11">
      <c r="A28" s="1" t="s">
        <v>75</v>
      </c>
      <c r="B28" s="2">
        <v>35500</v>
      </c>
      <c r="D28" s="2">
        <v>35145</v>
      </c>
      <c r="F28" s="2">
        <v>35468</v>
      </c>
      <c r="H28" s="2">
        <v>35141</v>
      </c>
      <c r="J28" s="24">
        <v>35642</v>
      </c>
      <c r="K28" s="24"/>
    </row>
    <row r="29" spans="1:11">
      <c r="J29" s="24"/>
      <c r="K29" s="24"/>
    </row>
    <row r="30" spans="1:11">
      <c r="A30" s="1" t="s">
        <v>7</v>
      </c>
      <c r="B30" s="2" t="s">
        <v>1910</v>
      </c>
      <c r="C30" s="2" t="s">
        <v>1388</v>
      </c>
      <c r="D30" s="2" t="s">
        <v>2057</v>
      </c>
      <c r="E30" s="2" t="s">
        <v>271</v>
      </c>
      <c r="F30" s="2" t="s">
        <v>2058</v>
      </c>
      <c r="G30" s="2" t="s">
        <v>1380</v>
      </c>
      <c r="H30" s="2" t="s">
        <v>2059</v>
      </c>
      <c r="I30" s="2" t="s">
        <v>271</v>
      </c>
      <c r="J30" s="24" t="s">
        <v>2060</v>
      </c>
      <c r="K30" s="24" t="s">
        <v>1841</v>
      </c>
    </row>
    <row r="31" spans="1:11">
      <c r="A31" s="1" t="s">
        <v>14</v>
      </c>
      <c r="B31" s="2" t="s">
        <v>1918</v>
      </c>
      <c r="C31" s="2" t="s">
        <v>84</v>
      </c>
      <c r="D31" s="2" t="s">
        <v>2061</v>
      </c>
      <c r="E31" s="2" t="s">
        <v>84</v>
      </c>
      <c r="F31" s="2" t="s">
        <v>2062</v>
      </c>
      <c r="G31" s="2" t="s">
        <v>84</v>
      </c>
      <c r="H31" s="2" t="s">
        <v>2063</v>
      </c>
      <c r="I31" s="2" t="s">
        <v>84</v>
      </c>
      <c r="J31" s="24" t="s">
        <v>2064</v>
      </c>
      <c r="K31" s="24" t="s">
        <v>84</v>
      </c>
    </row>
    <row r="32" spans="1:11">
      <c r="A32" s="1" t="s">
        <v>21</v>
      </c>
      <c r="B32" s="2" t="s">
        <v>1926</v>
      </c>
      <c r="C32" s="2" t="s">
        <v>280</v>
      </c>
      <c r="D32" s="2" t="s">
        <v>2065</v>
      </c>
      <c r="E32" s="2" t="s">
        <v>151</v>
      </c>
      <c r="F32" s="2" t="s">
        <v>2066</v>
      </c>
      <c r="G32" s="2" t="s">
        <v>80</v>
      </c>
      <c r="H32" s="2" t="s">
        <v>2067</v>
      </c>
      <c r="I32" s="2" t="s">
        <v>1273</v>
      </c>
      <c r="J32" s="24" t="s">
        <v>2068</v>
      </c>
      <c r="K32" s="24" t="s">
        <v>44</v>
      </c>
    </row>
    <row r="33" spans="1:11">
      <c r="A33" s="1" t="s">
        <v>28</v>
      </c>
      <c r="B33" s="2" t="s">
        <v>1934</v>
      </c>
      <c r="C33" s="2" t="s">
        <v>84</v>
      </c>
      <c r="D33" s="2" t="s">
        <v>2069</v>
      </c>
      <c r="E33" s="2" t="s">
        <v>94</v>
      </c>
      <c r="F33" s="2" t="s">
        <v>2070</v>
      </c>
      <c r="G33" s="2" t="s">
        <v>94</v>
      </c>
      <c r="H33" s="2" t="s">
        <v>2071</v>
      </c>
      <c r="I33" s="2" t="s">
        <v>94</v>
      </c>
      <c r="J33" s="24" t="s">
        <v>2072</v>
      </c>
      <c r="K33" s="24" t="s">
        <v>94</v>
      </c>
    </row>
    <row r="34" spans="1:11">
      <c r="J34"/>
      <c r="K34"/>
    </row>
    <row r="37" spans="1:11">
      <c r="A37" s="1" t="s">
        <v>1178</v>
      </c>
    </row>
  </sheetData>
  <sheetProtection selectLockedCells="1" selectUnlockedCells="1"/>
  <mergeCells count="6">
    <mergeCell ref="J3:K3"/>
    <mergeCell ref="A1:G1"/>
    <mergeCell ref="B3:C3"/>
    <mergeCell ref="D3:E3"/>
    <mergeCell ref="F3:G3"/>
    <mergeCell ref="H3:I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3.2"/>
  <cols>
    <col min="1" max="1" width="49.33203125" style="1" customWidth="1"/>
    <col min="2" max="2" width="12" style="1" customWidth="1"/>
    <col min="3" max="3" width="7.109375" style="1" customWidth="1"/>
    <col min="4" max="4" width="12" style="2" customWidth="1"/>
    <col min="5" max="5" width="7.109375" style="2" customWidth="1"/>
    <col min="6" max="6" width="12" style="2" customWidth="1"/>
    <col min="7" max="7" width="7.109375" style="2" customWidth="1"/>
    <col min="8" max="8" width="12" style="2" customWidth="1"/>
    <col min="9" max="9" width="7.109375" style="2" customWidth="1"/>
    <col min="10" max="10" width="12" style="2" customWidth="1"/>
    <col min="11" max="11" width="7.109375" style="2" customWidth="1"/>
    <col min="12" max="12" width="12" style="2" customWidth="1"/>
    <col min="13" max="13" width="7.109375" style="2" customWidth="1"/>
    <col min="14" max="14" width="12" style="2" customWidth="1"/>
    <col min="15" max="15" width="7.109375" style="2" customWidth="1"/>
    <col min="16" max="16" width="12" style="2" customWidth="1"/>
    <col min="17" max="17" width="7.109375" style="2" customWidth="1"/>
    <col min="18" max="18" width="12" style="2" customWidth="1"/>
    <col min="19" max="19" width="7.109375" style="2" customWidth="1"/>
    <col min="20" max="20" width="12" style="2" customWidth="1"/>
    <col min="21" max="21" width="7.109375" style="2" customWidth="1"/>
    <col min="22" max="22" width="12" style="2" customWidth="1"/>
    <col min="23" max="23" width="7.109375" style="2" customWidth="1"/>
    <col min="24" max="24" width="12" style="18" customWidth="1"/>
    <col min="25" max="25" width="7.109375" style="18" customWidth="1"/>
    <col min="26" max="256" width="9.77734375" style="2" customWidth="1"/>
    <col min="257" max="16384" width="11.5546875" style="2"/>
  </cols>
  <sheetData>
    <row r="1" spans="1:25">
      <c r="A1" s="3" t="s">
        <v>2073</v>
      </c>
      <c r="B1" s="26"/>
      <c r="C1" s="26"/>
    </row>
    <row r="2" spans="1:25">
      <c r="B2" s="43" t="s">
        <v>2074</v>
      </c>
      <c r="C2" s="43"/>
      <c r="D2" s="43"/>
      <c r="E2" s="43"/>
      <c r="F2" s="43"/>
      <c r="G2" s="43"/>
      <c r="H2" s="49" t="s">
        <v>2075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5" s="5" customFormat="1">
      <c r="B3" s="41" t="s">
        <v>2076</v>
      </c>
      <c r="C3" s="41"/>
      <c r="D3" s="48" t="s">
        <v>2077</v>
      </c>
      <c r="E3" s="48"/>
      <c r="F3" s="50" t="s">
        <v>2078</v>
      </c>
      <c r="G3" s="50"/>
      <c r="H3" s="41" t="s">
        <v>164</v>
      </c>
      <c r="I3" s="41"/>
      <c r="J3" s="41" t="s">
        <v>165</v>
      </c>
      <c r="K3" s="41"/>
      <c r="L3" s="41" t="s">
        <v>166</v>
      </c>
      <c r="M3" s="41"/>
      <c r="N3" s="41" t="s">
        <v>167</v>
      </c>
      <c r="O3" s="41"/>
      <c r="P3" s="41" t="s">
        <v>168</v>
      </c>
      <c r="Q3" s="41"/>
      <c r="R3" s="41" t="s">
        <v>2079</v>
      </c>
      <c r="S3" s="41"/>
      <c r="T3" s="41" t="s">
        <v>171</v>
      </c>
      <c r="U3" s="41"/>
      <c r="V3" s="41" t="s">
        <v>172</v>
      </c>
      <c r="W3" s="41"/>
      <c r="X3" s="48" t="s">
        <v>2080</v>
      </c>
      <c r="Y3" s="48"/>
    </row>
    <row r="4" spans="1:25">
      <c r="A4" s="1" t="s">
        <v>4</v>
      </c>
      <c r="B4" s="2">
        <v>7656</v>
      </c>
      <c r="C4" s="2"/>
      <c r="D4" s="18">
        <v>7301</v>
      </c>
      <c r="E4" s="18"/>
      <c r="F4" s="28">
        <v>7301</v>
      </c>
      <c r="G4" s="28"/>
      <c r="H4" s="2">
        <v>7536</v>
      </c>
      <c r="J4" s="2">
        <v>7413</v>
      </c>
      <c r="L4" s="2">
        <v>7075</v>
      </c>
      <c r="N4" s="2">
        <v>7365</v>
      </c>
      <c r="P4" s="2">
        <v>7620</v>
      </c>
      <c r="R4" s="2">
        <v>7334</v>
      </c>
      <c r="T4" s="2">
        <v>7519</v>
      </c>
      <c r="V4" s="2">
        <v>7423</v>
      </c>
      <c r="X4" s="18">
        <v>7301</v>
      </c>
    </row>
    <row r="5" spans="1:25">
      <c r="A5" s="1" t="s">
        <v>2081</v>
      </c>
      <c r="B5" s="19">
        <v>8280</v>
      </c>
      <c r="C5"/>
      <c r="D5" s="18">
        <v>7517</v>
      </c>
      <c r="E5" s="18"/>
      <c r="F5" s="28">
        <v>7301</v>
      </c>
      <c r="G5" s="28"/>
      <c r="H5" s="2">
        <v>8157</v>
      </c>
      <c r="J5" s="2">
        <v>8026</v>
      </c>
      <c r="L5" s="2">
        <v>7660</v>
      </c>
      <c r="N5" s="2">
        <v>7982</v>
      </c>
      <c r="P5" s="2">
        <v>7839</v>
      </c>
      <c r="R5" s="2">
        <v>7552</v>
      </c>
      <c r="T5" s="2">
        <v>7707</v>
      </c>
      <c r="V5" s="2">
        <v>7585</v>
      </c>
      <c r="X5" s="18">
        <v>7301</v>
      </c>
    </row>
    <row r="6" spans="1:25">
      <c r="A6" s="1" t="s">
        <v>5</v>
      </c>
      <c r="B6" s="2">
        <v>43135</v>
      </c>
      <c r="C6" s="2"/>
      <c r="D6" s="18">
        <v>42322</v>
      </c>
      <c r="E6" s="18"/>
      <c r="F6" s="28">
        <v>41891</v>
      </c>
      <c r="G6" s="28"/>
      <c r="H6" s="2">
        <v>42971</v>
      </c>
      <c r="J6" s="2">
        <v>42746</v>
      </c>
      <c r="L6" s="2">
        <v>41947</v>
      </c>
      <c r="N6" s="2">
        <v>42837</v>
      </c>
      <c r="P6" s="2">
        <v>42685</v>
      </c>
      <c r="R6" s="2">
        <v>42398</v>
      </c>
      <c r="T6" s="2">
        <v>42481</v>
      </c>
      <c r="V6" s="2">
        <v>42246</v>
      </c>
      <c r="X6" s="18">
        <v>41905</v>
      </c>
    </row>
    <row r="7" spans="1:25">
      <c r="A7" s="1" t="s">
        <v>6</v>
      </c>
      <c r="B7" s="2">
        <v>35022</v>
      </c>
      <c r="C7" s="2"/>
      <c r="D7" s="18">
        <v>34865</v>
      </c>
      <c r="E7" s="18"/>
      <c r="F7" s="28">
        <v>34590</v>
      </c>
      <c r="G7" s="28"/>
      <c r="H7" s="2">
        <v>34980</v>
      </c>
      <c r="J7" s="2">
        <v>34889</v>
      </c>
      <c r="L7" s="2">
        <v>34452</v>
      </c>
      <c r="N7" s="2">
        <v>35022</v>
      </c>
      <c r="P7" s="2">
        <v>34907</v>
      </c>
      <c r="R7" s="2">
        <v>34907</v>
      </c>
      <c r="T7" s="2">
        <v>34821</v>
      </c>
      <c r="V7" s="2">
        <v>34713</v>
      </c>
      <c r="X7" s="18">
        <v>34604</v>
      </c>
    </row>
    <row r="8" spans="1:25">
      <c r="B8" s="2"/>
      <c r="C8" s="2"/>
      <c r="D8" s="18"/>
      <c r="E8" s="18"/>
      <c r="F8" s="28"/>
      <c r="G8" s="28"/>
    </row>
    <row r="9" spans="1:25">
      <c r="A9" s="1" t="s">
        <v>7</v>
      </c>
      <c r="B9" s="2" t="s">
        <v>1945</v>
      </c>
      <c r="C9" s="2" t="s">
        <v>1206</v>
      </c>
      <c r="D9" s="18" t="s">
        <v>1944</v>
      </c>
      <c r="E9" s="18" t="s">
        <v>1392</v>
      </c>
      <c r="F9" s="28" t="s">
        <v>2082</v>
      </c>
      <c r="G9" s="28" t="s">
        <v>1203</v>
      </c>
      <c r="H9" s="2" t="s">
        <v>2083</v>
      </c>
      <c r="I9" s="2" t="s">
        <v>1388</v>
      </c>
      <c r="J9" s="2" t="s">
        <v>2084</v>
      </c>
      <c r="K9" s="2" t="s">
        <v>1394</v>
      </c>
      <c r="L9" s="2" t="s">
        <v>2085</v>
      </c>
      <c r="M9" s="2" t="s">
        <v>125</v>
      </c>
      <c r="N9" s="2" t="s">
        <v>2086</v>
      </c>
      <c r="O9" s="2" t="s">
        <v>1388</v>
      </c>
      <c r="P9" s="2" t="s">
        <v>1945</v>
      </c>
      <c r="Q9" s="2" t="s">
        <v>1206</v>
      </c>
      <c r="R9" s="2" t="s">
        <v>2086</v>
      </c>
      <c r="S9" s="2" t="s">
        <v>1388</v>
      </c>
      <c r="T9" s="2" t="s">
        <v>2087</v>
      </c>
      <c r="U9" s="2" t="s">
        <v>1388</v>
      </c>
      <c r="V9" s="2" t="s">
        <v>2088</v>
      </c>
      <c r="W9" s="2" t="s">
        <v>1394</v>
      </c>
      <c r="X9" s="18" t="s">
        <v>2089</v>
      </c>
      <c r="Y9" s="18" t="s">
        <v>1394</v>
      </c>
    </row>
    <row r="10" spans="1:25">
      <c r="A10" s="1" t="s">
        <v>14</v>
      </c>
      <c r="B10" s="2" t="s">
        <v>1951</v>
      </c>
      <c r="C10" s="2" t="s">
        <v>1952</v>
      </c>
      <c r="D10" s="18" t="s">
        <v>2090</v>
      </c>
      <c r="E10" s="18" t="s">
        <v>1191</v>
      </c>
      <c r="F10" s="28" t="s">
        <v>2091</v>
      </c>
      <c r="G10" s="28" t="s">
        <v>225</v>
      </c>
      <c r="H10" s="2" t="s">
        <v>2092</v>
      </c>
      <c r="I10" s="2" t="s">
        <v>1841</v>
      </c>
      <c r="J10" s="2" t="s">
        <v>2093</v>
      </c>
      <c r="K10" s="2" t="s">
        <v>1846</v>
      </c>
      <c r="L10" s="2" t="s">
        <v>2094</v>
      </c>
      <c r="M10" s="2" t="s">
        <v>225</v>
      </c>
      <c r="N10" s="2" t="s">
        <v>2095</v>
      </c>
      <c r="O10" s="2" t="s">
        <v>1846</v>
      </c>
      <c r="P10" s="2" t="s">
        <v>2096</v>
      </c>
      <c r="Q10" s="2" t="s">
        <v>1836</v>
      </c>
      <c r="R10" s="2" t="s">
        <v>2097</v>
      </c>
      <c r="S10" s="2" t="s">
        <v>1188</v>
      </c>
      <c r="T10" s="2" t="s">
        <v>2098</v>
      </c>
      <c r="U10" s="2" t="s">
        <v>1844</v>
      </c>
      <c r="V10" s="2" t="s">
        <v>2099</v>
      </c>
      <c r="W10" s="2" t="s">
        <v>1191</v>
      </c>
      <c r="X10" s="18" t="s">
        <v>2100</v>
      </c>
      <c r="Y10" s="18" t="s">
        <v>107</v>
      </c>
    </row>
    <row r="11" spans="1:25">
      <c r="A11" s="1" t="s">
        <v>21</v>
      </c>
      <c r="B11" s="2" t="s">
        <v>1958</v>
      </c>
      <c r="C11" s="2" t="s">
        <v>46</v>
      </c>
      <c r="D11" s="18" t="s">
        <v>2101</v>
      </c>
      <c r="E11" s="18" t="s">
        <v>46</v>
      </c>
      <c r="F11" s="28" t="s">
        <v>2102</v>
      </c>
      <c r="G11" s="28" t="s">
        <v>271</v>
      </c>
      <c r="H11" s="2" t="s">
        <v>2101</v>
      </c>
      <c r="I11" s="2" t="s">
        <v>46</v>
      </c>
      <c r="J11" s="2" t="s">
        <v>2103</v>
      </c>
      <c r="K11" s="2" t="s">
        <v>526</v>
      </c>
      <c r="L11" s="2" t="s">
        <v>2104</v>
      </c>
      <c r="M11" s="2" t="s">
        <v>537</v>
      </c>
      <c r="N11" s="2" t="s">
        <v>1958</v>
      </c>
      <c r="O11" s="2" t="s">
        <v>46</v>
      </c>
      <c r="P11" s="2" t="s">
        <v>1958</v>
      </c>
      <c r="Q11" s="2" t="s">
        <v>46</v>
      </c>
      <c r="R11" s="2" t="s">
        <v>1958</v>
      </c>
      <c r="S11" s="2" t="s">
        <v>46</v>
      </c>
      <c r="T11" s="2" t="s">
        <v>2105</v>
      </c>
      <c r="U11" s="2" t="s">
        <v>1122</v>
      </c>
      <c r="V11" s="2" t="s">
        <v>2106</v>
      </c>
      <c r="W11" s="2" t="s">
        <v>526</v>
      </c>
      <c r="X11" s="18" t="s">
        <v>2107</v>
      </c>
      <c r="Y11" s="18" t="s">
        <v>271</v>
      </c>
    </row>
    <row r="12" spans="1:25">
      <c r="A12" s="1" t="s">
        <v>28</v>
      </c>
      <c r="B12" s="2" t="s">
        <v>1964</v>
      </c>
      <c r="C12" s="2" t="s">
        <v>20</v>
      </c>
      <c r="D12" s="18" t="s">
        <v>2108</v>
      </c>
      <c r="E12" s="18" t="s">
        <v>18</v>
      </c>
      <c r="F12" s="28" t="s">
        <v>2109</v>
      </c>
      <c r="G12" s="28" t="s">
        <v>515</v>
      </c>
      <c r="H12" s="2" t="s">
        <v>2110</v>
      </c>
      <c r="I12" s="2" t="s">
        <v>18</v>
      </c>
      <c r="J12" s="2" t="s">
        <v>2111</v>
      </c>
      <c r="K12" s="2" t="s">
        <v>18</v>
      </c>
      <c r="L12" s="2" t="s">
        <v>2112</v>
      </c>
      <c r="M12" s="2" t="s">
        <v>515</v>
      </c>
      <c r="N12" s="2" t="s">
        <v>1964</v>
      </c>
      <c r="O12" s="2" t="s">
        <v>20</v>
      </c>
      <c r="P12" s="2" t="s">
        <v>2113</v>
      </c>
      <c r="Q12" s="2" t="s">
        <v>18</v>
      </c>
      <c r="R12" s="2" t="s">
        <v>2113</v>
      </c>
      <c r="S12" s="2" t="s">
        <v>18</v>
      </c>
      <c r="T12" s="2" t="s">
        <v>2114</v>
      </c>
      <c r="U12" s="2" t="s">
        <v>1856</v>
      </c>
      <c r="V12" s="2" t="s">
        <v>2115</v>
      </c>
      <c r="W12" s="2" t="s">
        <v>515</v>
      </c>
      <c r="X12" s="18" t="s">
        <v>2116</v>
      </c>
      <c r="Y12" s="18" t="s">
        <v>515</v>
      </c>
    </row>
    <row r="13" spans="1:25">
      <c r="A13" s="1" t="s">
        <v>34</v>
      </c>
      <c r="B13" s="2" t="s">
        <v>1970</v>
      </c>
      <c r="C13" s="2" t="s">
        <v>18</v>
      </c>
      <c r="D13" s="18" t="s">
        <v>2117</v>
      </c>
      <c r="E13" s="18" t="s">
        <v>105</v>
      </c>
      <c r="F13" s="28" t="s">
        <v>2118</v>
      </c>
      <c r="G13" s="28" t="s">
        <v>225</v>
      </c>
      <c r="H13" s="2" t="s">
        <v>2119</v>
      </c>
      <c r="I13" s="2" t="s">
        <v>216</v>
      </c>
      <c r="J13" s="2" t="s">
        <v>2120</v>
      </c>
      <c r="K13" s="2" t="s">
        <v>107</v>
      </c>
      <c r="L13" s="2" t="s">
        <v>2121</v>
      </c>
      <c r="M13" s="2" t="s">
        <v>121</v>
      </c>
      <c r="N13" s="2" t="s">
        <v>2122</v>
      </c>
      <c r="O13" s="2" t="s">
        <v>105</v>
      </c>
      <c r="P13" s="2" t="s">
        <v>1970</v>
      </c>
      <c r="Q13" s="2" t="s">
        <v>18</v>
      </c>
      <c r="R13" s="2" t="s">
        <v>2122</v>
      </c>
      <c r="S13" s="2" t="s">
        <v>105</v>
      </c>
      <c r="T13" s="2" t="s">
        <v>2123</v>
      </c>
      <c r="U13" s="2" t="s">
        <v>20</v>
      </c>
      <c r="V13" s="2" t="s">
        <v>2124</v>
      </c>
      <c r="W13" s="2" t="s">
        <v>107</v>
      </c>
      <c r="X13" s="18" t="s">
        <v>2117</v>
      </c>
      <c r="Y13" s="18" t="s">
        <v>105</v>
      </c>
    </row>
    <row r="14" spans="1:25">
      <c r="A14" s="1" t="s">
        <v>40</v>
      </c>
      <c r="B14" s="2" t="s">
        <v>1976</v>
      </c>
      <c r="C14" s="2" t="s">
        <v>101</v>
      </c>
      <c r="D14" s="18" t="s">
        <v>2125</v>
      </c>
      <c r="E14" s="18" t="s">
        <v>276</v>
      </c>
      <c r="F14" s="28" t="s">
        <v>2126</v>
      </c>
      <c r="G14" s="28" t="s">
        <v>276</v>
      </c>
      <c r="H14" s="2" t="s">
        <v>2127</v>
      </c>
      <c r="I14" s="2" t="s">
        <v>366</v>
      </c>
      <c r="J14" s="2" t="s">
        <v>2128</v>
      </c>
      <c r="K14" s="2" t="s">
        <v>1156</v>
      </c>
      <c r="L14" s="2" t="s">
        <v>2129</v>
      </c>
      <c r="M14" s="2" t="s">
        <v>125</v>
      </c>
      <c r="N14" s="2" t="s">
        <v>2130</v>
      </c>
      <c r="O14" s="2" t="s">
        <v>304</v>
      </c>
      <c r="P14" s="2" t="s">
        <v>2131</v>
      </c>
      <c r="Q14" s="2" t="s">
        <v>205</v>
      </c>
      <c r="R14" s="2" t="s">
        <v>2132</v>
      </c>
      <c r="S14" s="2" t="s">
        <v>282</v>
      </c>
      <c r="T14" s="2" t="s">
        <v>2133</v>
      </c>
      <c r="U14" s="2" t="s">
        <v>629</v>
      </c>
      <c r="V14" s="2" t="s">
        <v>2134</v>
      </c>
      <c r="W14" s="2" t="s">
        <v>546</v>
      </c>
      <c r="X14" s="18" t="s">
        <v>2125</v>
      </c>
      <c r="Y14" s="18" t="s">
        <v>276</v>
      </c>
    </row>
    <row r="15" spans="1:25">
      <c r="B15" s="2"/>
      <c r="C15" s="2"/>
      <c r="D15" s="18"/>
      <c r="E15" s="18"/>
      <c r="F15" s="28"/>
      <c r="G15" s="28"/>
    </row>
    <row r="16" spans="1:25">
      <c r="A16" s="1" t="s">
        <v>47</v>
      </c>
      <c r="B16" s="2">
        <v>5566</v>
      </c>
      <c r="C16" s="2"/>
      <c r="D16" s="18">
        <v>5546</v>
      </c>
      <c r="E16" s="18"/>
      <c r="F16" s="28">
        <v>5519</v>
      </c>
      <c r="G16" s="28"/>
      <c r="H16" s="2">
        <v>5562</v>
      </c>
      <c r="J16" s="2">
        <v>5544</v>
      </c>
      <c r="L16" s="2">
        <v>5423</v>
      </c>
      <c r="N16" s="2">
        <v>5560</v>
      </c>
      <c r="P16" s="2">
        <v>5555</v>
      </c>
      <c r="R16" s="2">
        <v>5549</v>
      </c>
      <c r="T16" s="2">
        <v>5551</v>
      </c>
      <c r="V16" s="2">
        <v>5535</v>
      </c>
      <c r="X16" s="18">
        <v>5499</v>
      </c>
    </row>
    <row r="17" spans="1:25">
      <c r="A17" s="1" t="s">
        <v>48</v>
      </c>
      <c r="B17" s="2" t="s">
        <v>1979</v>
      </c>
      <c r="C17" s="10" t="s">
        <v>1225</v>
      </c>
      <c r="D17" s="18" t="s">
        <v>2135</v>
      </c>
      <c r="E17" s="29" t="s">
        <v>2136</v>
      </c>
      <c r="F17" s="28" t="s">
        <v>2137</v>
      </c>
      <c r="G17" s="28" t="s">
        <v>1440</v>
      </c>
      <c r="H17" s="2" t="s">
        <v>2138</v>
      </c>
      <c r="I17" s="10" t="s">
        <v>1444</v>
      </c>
      <c r="J17" s="2" t="s">
        <v>2139</v>
      </c>
      <c r="K17" s="10" t="s">
        <v>1442</v>
      </c>
      <c r="L17" s="2" t="s">
        <v>2140</v>
      </c>
      <c r="M17" s="10" t="s">
        <v>1139</v>
      </c>
      <c r="N17" s="2" t="s">
        <v>2141</v>
      </c>
      <c r="O17" s="10" t="s">
        <v>2142</v>
      </c>
      <c r="P17" s="2" t="s">
        <v>2143</v>
      </c>
      <c r="Q17" s="10" t="s">
        <v>1978</v>
      </c>
      <c r="R17" s="2" t="s">
        <v>2144</v>
      </c>
      <c r="S17" s="10" t="s">
        <v>1451</v>
      </c>
      <c r="T17" s="2" t="s">
        <v>2145</v>
      </c>
      <c r="U17" s="10" t="s">
        <v>1444</v>
      </c>
      <c r="V17" s="2" t="s">
        <v>2146</v>
      </c>
      <c r="W17" s="10" t="s">
        <v>1781</v>
      </c>
      <c r="X17" s="18" t="s">
        <v>2147</v>
      </c>
      <c r="Y17" s="18" t="s">
        <v>1441</v>
      </c>
    </row>
    <row r="18" spans="1:25">
      <c r="A18" s="1" t="s">
        <v>55</v>
      </c>
      <c r="B18" s="2" t="s">
        <v>1982</v>
      </c>
      <c r="C18" s="10" t="s">
        <v>1983</v>
      </c>
      <c r="D18" s="18" t="s">
        <v>2148</v>
      </c>
      <c r="E18" s="29" t="s">
        <v>2149</v>
      </c>
      <c r="F18" s="28" t="s">
        <v>2150</v>
      </c>
      <c r="G18" s="28" t="s">
        <v>2151</v>
      </c>
      <c r="H18" s="2" t="s">
        <v>2152</v>
      </c>
      <c r="I18" s="10" t="s">
        <v>1983</v>
      </c>
      <c r="J18" s="2" t="s">
        <v>2153</v>
      </c>
      <c r="K18" s="10" t="s">
        <v>2149</v>
      </c>
      <c r="L18" s="2" t="s">
        <v>2154</v>
      </c>
      <c r="M18" s="10" t="s">
        <v>2155</v>
      </c>
      <c r="N18" s="2" t="s">
        <v>2156</v>
      </c>
      <c r="O18" s="10" t="s">
        <v>2050</v>
      </c>
      <c r="P18" s="2" t="s">
        <v>2157</v>
      </c>
      <c r="Q18" s="10" t="s">
        <v>2050</v>
      </c>
      <c r="R18" s="2" t="s">
        <v>2158</v>
      </c>
      <c r="S18" s="10" t="s">
        <v>2159</v>
      </c>
      <c r="T18" s="2" t="s">
        <v>2160</v>
      </c>
      <c r="U18" s="10" t="s">
        <v>2159</v>
      </c>
      <c r="V18" s="2" t="s">
        <v>2161</v>
      </c>
      <c r="W18" s="10" t="s">
        <v>2162</v>
      </c>
      <c r="X18" s="18" t="s">
        <v>2163</v>
      </c>
      <c r="Y18" s="18" t="s">
        <v>2164</v>
      </c>
    </row>
    <row r="19" spans="1:25">
      <c r="A19" s="1" t="s">
        <v>62</v>
      </c>
      <c r="B19" s="2" t="s">
        <v>1991</v>
      </c>
      <c r="C19" s="10" t="s">
        <v>1992</v>
      </c>
      <c r="D19" s="18" t="s">
        <v>2165</v>
      </c>
      <c r="E19" s="29" t="s">
        <v>2166</v>
      </c>
      <c r="F19" s="28" t="s">
        <v>2167</v>
      </c>
      <c r="G19" s="28" t="s">
        <v>2056</v>
      </c>
      <c r="H19" s="2" t="s">
        <v>2168</v>
      </c>
      <c r="I19" s="10" t="s">
        <v>2166</v>
      </c>
      <c r="J19" s="2" t="s">
        <v>2169</v>
      </c>
      <c r="K19" s="10" t="s">
        <v>2166</v>
      </c>
      <c r="L19" s="2" t="s">
        <v>2170</v>
      </c>
      <c r="M19" s="10" t="s">
        <v>2171</v>
      </c>
      <c r="N19" s="2" t="s">
        <v>2172</v>
      </c>
      <c r="O19" s="10" t="s">
        <v>2173</v>
      </c>
      <c r="P19" s="2" t="s">
        <v>2174</v>
      </c>
      <c r="Q19" s="10" t="s">
        <v>2175</v>
      </c>
      <c r="R19" s="2" t="s">
        <v>2176</v>
      </c>
      <c r="S19" s="10" t="s">
        <v>1992</v>
      </c>
      <c r="T19" s="2" t="s">
        <v>2177</v>
      </c>
      <c r="U19" s="10" t="s">
        <v>2178</v>
      </c>
      <c r="V19" s="2" t="s">
        <v>2179</v>
      </c>
      <c r="W19" s="10" t="s">
        <v>1992</v>
      </c>
      <c r="X19" s="18" t="s">
        <v>2180</v>
      </c>
      <c r="Y19" s="18" t="s">
        <v>2181</v>
      </c>
    </row>
    <row r="20" spans="1:25">
      <c r="B20" s="2"/>
      <c r="C20" s="2"/>
      <c r="D20" s="18"/>
      <c r="E20" s="18"/>
      <c r="F20" s="28"/>
      <c r="G20" s="28"/>
    </row>
    <row r="21" spans="1:25">
      <c r="B21" s="2"/>
      <c r="C21" s="2"/>
      <c r="D21" s="18"/>
      <c r="E21" s="18"/>
      <c r="F21" s="28"/>
      <c r="G21" s="28"/>
    </row>
    <row r="22" spans="1:25">
      <c r="A22" s="1" t="s">
        <v>69</v>
      </c>
      <c r="B22" s="2"/>
      <c r="C22" s="2"/>
      <c r="D22" s="18"/>
      <c r="E22" s="18"/>
      <c r="F22" s="28"/>
      <c r="G22" s="28"/>
    </row>
    <row r="23" spans="1:25">
      <c r="B23" s="2"/>
      <c r="C23" s="2"/>
      <c r="D23" s="18"/>
      <c r="E23" s="18"/>
      <c r="F23" s="28"/>
      <c r="G23" s="28"/>
    </row>
    <row r="24" spans="1:25">
      <c r="A24" s="1" t="s">
        <v>70</v>
      </c>
      <c r="B24" s="2">
        <v>6953</v>
      </c>
      <c r="C24" s="2"/>
      <c r="D24" s="18">
        <v>6893</v>
      </c>
      <c r="E24" s="18"/>
      <c r="F24" s="28">
        <v>6892</v>
      </c>
      <c r="G24" s="28"/>
      <c r="H24" s="2">
        <v>6931</v>
      </c>
      <c r="J24" s="2">
        <v>6886</v>
      </c>
      <c r="L24" s="2">
        <v>6689</v>
      </c>
      <c r="N24" s="2">
        <v>6905</v>
      </c>
      <c r="P24" s="2">
        <v>6953</v>
      </c>
      <c r="R24" s="2">
        <v>6905</v>
      </c>
      <c r="T24" s="2">
        <v>6939</v>
      </c>
      <c r="V24" s="2">
        <v>6906</v>
      </c>
      <c r="X24" s="18">
        <v>6893</v>
      </c>
    </row>
    <row r="25" spans="1:25">
      <c r="A25" s="1" t="s">
        <v>71</v>
      </c>
      <c r="B25" s="2">
        <v>6666</v>
      </c>
      <c r="C25" s="2"/>
      <c r="D25" s="18">
        <v>6636</v>
      </c>
      <c r="E25" s="18"/>
      <c r="F25" s="28">
        <v>6633</v>
      </c>
      <c r="G25" s="28"/>
      <c r="H25" s="2">
        <v>6655</v>
      </c>
      <c r="J25" s="2">
        <v>6628</v>
      </c>
      <c r="L25" s="2">
        <v>6472</v>
      </c>
      <c r="N25" s="2">
        <v>6642</v>
      </c>
      <c r="P25" s="2">
        <v>6666</v>
      </c>
      <c r="R25" s="2">
        <v>6642</v>
      </c>
      <c r="T25" s="2">
        <v>6656</v>
      </c>
      <c r="V25" s="2">
        <v>6626</v>
      </c>
      <c r="X25" s="18">
        <v>6636</v>
      </c>
    </row>
    <row r="26" spans="1:25">
      <c r="A26" s="1" t="s">
        <v>72</v>
      </c>
      <c r="B26" s="2">
        <v>41958</v>
      </c>
      <c r="C26" s="2"/>
      <c r="D26" s="18">
        <v>41488</v>
      </c>
      <c r="E26" s="18"/>
      <c r="F26" s="28">
        <v>41108</v>
      </c>
      <c r="G26" s="28"/>
      <c r="H26" s="2">
        <v>41918</v>
      </c>
      <c r="J26" s="2">
        <v>41787</v>
      </c>
      <c r="L26" s="2">
        <v>41179</v>
      </c>
      <c r="N26" s="2">
        <v>41903</v>
      </c>
      <c r="P26" s="2">
        <v>41566</v>
      </c>
      <c r="R26" s="2">
        <v>41517</v>
      </c>
      <c r="T26" s="2">
        <v>41495</v>
      </c>
      <c r="V26" s="2">
        <v>41367</v>
      </c>
      <c r="X26" s="18">
        <v>41101</v>
      </c>
    </row>
    <row r="27" spans="1:25">
      <c r="A27" s="1" t="s">
        <v>73</v>
      </c>
      <c r="B27" s="2">
        <v>34560</v>
      </c>
      <c r="C27" s="2"/>
      <c r="D27" s="18">
        <v>34449</v>
      </c>
      <c r="E27" s="18"/>
      <c r="F27" s="28">
        <v>34216</v>
      </c>
      <c r="G27" s="28"/>
      <c r="H27" s="2">
        <v>34544</v>
      </c>
      <c r="J27" s="2">
        <v>34469</v>
      </c>
      <c r="L27" s="2">
        <v>34081</v>
      </c>
      <c r="N27" s="2">
        <v>34560</v>
      </c>
      <c r="P27" s="2">
        <v>34465</v>
      </c>
      <c r="R27" s="2">
        <v>34465</v>
      </c>
      <c r="T27" s="2">
        <v>34422</v>
      </c>
      <c r="V27" s="2">
        <v>34353</v>
      </c>
      <c r="X27" s="18">
        <v>34208</v>
      </c>
    </row>
    <row r="28" spans="1:25">
      <c r="A28" s="1" t="s">
        <v>74</v>
      </c>
      <c r="B28" s="2">
        <v>42968</v>
      </c>
      <c r="C28" s="2"/>
      <c r="D28" s="18">
        <v>42883</v>
      </c>
      <c r="E28" s="18"/>
      <c r="F28" s="28">
        <v>42873</v>
      </c>
      <c r="G28" s="28"/>
      <c r="H28" s="2">
        <v>42931</v>
      </c>
      <c r="J28" s="2">
        <v>42827</v>
      </c>
      <c r="L28" s="2">
        <v>42264</v>
      </c>
      <c r="N28" s="2">
        <v>42907</v>
      </c>
      <c r="P28" s="2">
        <v>42968</v>
      </c>
      <c r="R28" s="2">
        <v>42907</v>
      </c>
      <c r="T28" s="2">
        <v>42934</v>
      </c>
      <c r="V28" s="2">
        <v>42854</v>
      </c>
      <c r="X28" s="18">
        <v>42883</v>
      </c>
    </row>
    <row r="29" spans="1:25">
      <c r="A29" s="1" t="s">
        <v>75</v>
      </c>
      <c r="B29" s="2">
        <v>36055</v>
      </c>
      <c r="C29" s="2"/>
      <c r="D29" s="18">
        <v>36001</v>
      </c>
      <c r="E29" s="18"/>
      <c r="F29" s="28">
        <v>35994</v>
      </c>
      <c r="G29" s="28"/>
      <c r="H29" s="2">
        <v>36030</v>
      </c>
      <c r="J29" s="2">
        <v>35953</v>
      </c>
      <c r="L29" s="2">
        <v>35550</v>
      </c>
      <c r="N29" s="2">
        <v>36018</v>
      </c>
      <c r="P29" s="2">
        <v>36055</v>
      </c>
      <c r="R29" s="2">
        <v>36018</v>
      </c>
      <c r="T29" s="2">
        <v>36031</v>
      </c>
      <c r="V29" s="2">
        <v>35981</v>
      </c>
      <c r="X29" s="18">
        <v>36001</v>
      </c>
    </row>
    <row r="30" spans="1:25">
      <c r="B30" s="2"/>
      <c r="C30" s="2"/>
      <c r="D30" s="18"/>
      <c r="E30" s="18"/>
      <c r="F30" s="28"/>
      <c r="G30" s="28"/>
    </row>
    <row r="31" spans="1:25">
      <c r="A31" s="1" t="s">
        <v>7</v>
      </c>
      <c r="B31" s="2" t="s">
        <v>1998</v>
      </c>
      <c r="C31" s="2" t="s">
        <v>1844</v>
      </c>
      <c r="D31" s="18" t="s">
        <v>2182</v>
      </c>
      <c r="E31" s="18" t="s">
        <v>1844</v>
      </c>
      <c r="F31" s="28" t="s">
        <v>2183</v>
      </c>
      <c r="G31" s="28" t="s">
        <v>1839</v>
      </c>
      <c r="H31" s="2" t="s">
        <v>2184</v>
      </c>
      <c r="I31" s="2" t="s">
        <v>1844</v>
      </c>
      <c r="J31" s="2" t="s">
        <v>2185</v>
      </c>
      <c r="K31" s="2" t="s">
        <v>1841</v>
      </c>
      <c r="L31" s="2" t="s">
        <v>2186</v>
      </c>
      <c r="M31" s="2" t="s">
        <v>1841</v>
      </c>
      <c r="N31" s="2" t="s">
        <v>2187</v>
      </c>
      <c r="O31" s="2" t="s">
        <v>1844</v>
      </c>
      <c r="P31" s="2" t="s">
        <v>1998</v>
      </c>
      <c r="Q31" s="2" t="s">
        <v>1844</v>
      </c>
      <c r="R31" s="2" t="s">
        <v>2187</v>
      </c>
      <c r="S31" s="2" t="s">
        <v>1844</v>
      </c>
      <c r="T31" s="2" t="s">
        <v>2188</v>
      </c>
      <c r="U31" s="2" t="s">
        <v>1844</v>
      </c>
      <c r="V31" s="2" t="s">
        <v>2189</v>
      </c>
      <c r="W31" s="2" t="s">
        <v>1844</v>
      </c>
      <c r="X31" s="18" t="s">
        <v>2190</v>
      </c>
      <c r="Y31" s="18" t="s">
        <v>1839</v>
      </c>
    </row>
    <row r="32" spans="1:25">
      <c r="A32" s="1" t="s">
        <v>14</v>
      </c>
      <c r="B32" s="2" t="s">
        <v>2004</v>
      </c>
      <c r="C32" s="2" t="s">
        <v>94</v>
      </c>
      <c r="D32" s="18" t="s">
        <v>2191</v>
      </c>
      <c r="E32" s="18" t="s">
        <v>94</v>
      </c>
      <c r="F32" s="28" t="s">
        <v>2192</v>
      </c>
      <c r="G32" s="28" t="s">
        <v>84</v>
      </c>
      <c r="H32" s="2" t="s">
        <v>2193</v>
      </c>
      <c r="I32" s="2" t="s">
        <v>94</v>
      </c>
      <c r="J32" s="2" t="s">
        <v>2194</v>
      </c>
      <c r="K32" s="2" t="s">
        <v>94</v>
      </c>
      <c r="L32" s="2" t="s">
        <v>2195</v>
      </c>
      <c r="M32" s="2" t="s">
        <v>94</v>
      </c>
      <c r="N32" s="2" t="s">
        <v>2196</v>
      </c>
      <c r="O32" s="2" t="s">
        <v>94</v>
      </c>
      <c r="P32" s="2" t="s">
        <v>2197</v>
      </c>
      <c r="Q32" s="2" t="s">
        <v>94</v>
      </c>
      <c r="R32" s="2" t="s">
        <v>2198</v>
      </c>
      <c r="S32" s="2" t="s">
        <v>94</v>
      </c>
      <c r="T32" s="2" t="s">
        <v>2199</v>
      </c>
      <c r="U32" s="2" t="s">
        <v>84</v>
      </c>
      <c r="V32" s="2" t="s">
        <v>2200</v>
      </c>
      <c r="W32" s="2" t="s">
        <v>84</v>
      </c>
      <c r="X32" s="18" t="s">
        <v>2201</v>
      </c>
      <c r="Y32" s="18" t="s">
        <v>94</v>
      </c>
    </row>
    <row r="33" spans="1:25">
      <c r="A33" s="1" t="s">
        <v>21</v>
      </c>
      <c r="B33" s="2" t="s">
        <v>2010</v>
      </c>
      <c r="C33" s="2" t="s">
        <v>1376</v>
      </c>
      <c r="D33" s="18" t="s">
        <v>2202</v>
      </c>
      <c r="E33" s="18" t="s">
        <v>1203</v>
      </c>
      <c r="F33" s="28" t="s">
        <v>2203</v>
      </c>
      <c r="G33" s="28" t="s">
        <v>44</v>
      </c>
      <c r="H33" s="2" t="s">
        <v>2204</v>
      </c>
      <c r="I33" s="2" t="s">
        <v>1376</v>
      </c>
      <c r="J33" s="2" t="s">
        <v>2205</v>
      </c>
      <c r="K33" s="2" t="s">
        <v>1376</v>
      </c>
      <c r="L33" s="2" t="s">
        <v>2206</v>
      </c>
      <c r="M33" s="2" t="s">
        <v>1376</v>
      </c>
      <c r="N33" s="2" t="s">
        <v>2207</v>
      </c>
      <c r="O33" s="2" t="s">
        <v>1203</v>
      </c>
      <c r="P33" s="2" t="s">
        <v>2010</v>
      </c>
      <c r="Q33" s="2" t="s">
        <v>1376</v>
      </c>
      <c r="R33" s="2" t="s">
        <v>2207</v>
      </c>
      <c r="S33" s="2" t="s">
        <v>1203</v>
      </c>
      <c r="T33" s="2" t="s">
        <v>2208</v>
      </c>
      <c r="U33" s="2" t="s">
        <v>1376</v>
      </c>
      <c r="V33" s="2" t="s">
        <v>2209</v>
      </c>
      <c r="W33" s="2" t="s">
        <v>1376</v>
      </c>
      <c r="X33" s="18" t="s">
        <v>2210</v>
      </c>
      <c r="Y33" s="18" t="s">
        <v>44</v>
      </c>
    </row>
    <row r="34" spans="1:25">
      <c r="A34" s="1" t="s">
        <v>28</v>
      </c>
      <c r="B34" s="2" t="s">
        <v>2016</v>
      </c>
      <c r="C34" s="2" t="s">
        <v>691</v>
      </c>
      <c r="D34" s="18" t="s">
        <v>2211</v>
      </c>
      <c r="E34" s="18" t="s">
        <v>691</v>
      </c>
      <c r="F34" s="28" t="s">
        <v>2212</v>
      </c>
      <c r="G34" s="28" t="s">
        <v>94</v>
      </c>
      <c r="H34" s="2" t="s">
        <v>2213</v>
      </c>
      <c r="I34" s="2" t="s">
        <v>691</v>
      </c>
      <c r="J34" s="2" t="s">
        <v>2214</v>
      </c>
      <c r="K34" s="2" t="s">
        <v>691</v>
      </c>
      <c r="L34" s="2" t="s">
        <v>2215</v>
      </c>
      <c r="M34" s="2" t="s">
        <v>691</v>
      </c>
      <c r="N34" s="2" t="s">
        <v>2016</v>
      </c>
      <c r="O34" s="2" t="s">
        <v>691</v>
      </c>
      <c r="P34" s="2" t="s">
        <v>2216</v>
      </c>
      <c r="Q34" s="2" t="s">
        <v>691</v>
      </c>
      <c r="R34" s="2" t="s">
        <v>2216</v>
      </c>
      <c r="S34" s="2" t="s">
        <v>691</v>
      </c>
      <c r="T34" s="2" t="s">
        <v>2217</v>
      </c>
      <c r="U34" s="2" t="s">
        <v>691</v>
      </c>
      <c r="V34" s="2" t="s">
        <v>2218</v>
      </c>
      <c r="W34" s="2" t="s">
        <v>94</v>
      </c>
      <c r="X34" s="18" t="s">
        <v>2219</v>
      </c>
      <c r="Y34" s="18" t="s">
        <v>94</v>
      </c>
    </row>
    <row r="38" spans="1:25">
      <c r="A38" s="2" t="s">
        <v>2220</v>
      </c>
    </row>
    <row r="39" spans="1:25">
      <c r="A39" s="2" t="s">
        <v>2221</v>
      </c>
    </row>
    <row r="40" spans="1:25">
      <c r="A40" s="2" t="s">
        <v>2222</v>
      </c>
    </row>
    <row r="41" spans="1:25">
      <c r="A41" s="2" t="s">
        <v>2223</v>
      </c>
    </row>
    <row r="42" spans="1:25">
      <c r="A42" s="2" t="s">
        <v>2224</v>
      </c>
    </row>
    <row r="43" spans="1:25">
      <c r="A43" s="2" t="s">
        <v>2225</v>
      </c>
    </row>
    <row r="44" spans="1:25">
      <c r="A44" s="2" t="s">
        <v>2226</v>
      </c>
    </row>
    <row r="45" spans="1:25">
      <c r="A45" s="2" t="s">
        <v>2227</v>
      </c>
    </row>
    <row r="46" spans="1:25">
      <c r="A46" s="2" t="s">
        <v>2228</v>
      </c>
    </row>
  </sheetData>
  <sheetProtection selectLockedCells="1" selectUnlockedCells="1"/>
  <mergeCells count="14">
    <mergeCell ref="R3:S3"/>
    <mergeCell ref="T3:U3"/>
    <mergeCell ref="V3:W3"/>
    <mergeCell ref="X3:Y3"/>
    <mergeCell ref="B2:G2"/>
    <mergeCell ref="H2:U2"/>
    <mergeCell ref="B3:C3"/>
    <mergeCell ref="D3:E3"/>
    <mergeCell ref="F3:G3"/>
    <mergeCell ref="H3:I3"/>
    <mergeCell ref="J3:K3"/>
    <mergeCell ref="L3:M3"/>
    <mergeCell ref="N3:O3"/>
    <mergeCell ref="P3:Q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3" sqref="F3"/>
    </sheetView>
  </sheetViews>
  <sheetFormatPr baseColWidth="10" defaultRowHeight="13.2"/>
  <cols>
    <col min="1" max="1" width="51.109375" style="1" customWidth="1"/>
    <col min="2" max="2" width="12" style="1" customWidth="1"/>
    <col min="3" max="3" width="7.109375" style="1" customWidth="1"/>
    <col min="4" max="4" width="12" style="2" customWidth="1"/>
    <col min="5" max="5" width="7.109375" style="2" customWidth="1"/>
    <col min="6" max="6" width="12" style="2" customWidth="1"/>
    <col min="7" max="7" width="7.109375" style="2" customWidth="1"/>
    <col min="8" max="8" width="12" style="2" customWidth="1"/>
    <col min="9" max="9" width="7.109375" style="2" customWidth="1"/>
    <col min="10" max="10" width="12" style="2" customWidth="1"/>
    <col min="11" max="11" width="7.109375" style="2" customWidth="1"/>
    <col min="12" max="12" width="12" style="2" customWidth="1"/>
    <col min="13" max="13" width="8.21875" style="2" customWidth="1"/>
    <col min="14" max="14" width="12" style="2" customWidth="1"/>
    <col min="15" max="15" width="7.109375" style="2" customWidth="1"/>
    <col min="16" max="16" width="12" style="2" customWidth="1"/>
    <col min="17" max="17" width="8.21875" style="2" customWidth="1"/>
    <col min="18" max="18" width="12" style="2" customWidth="1"/>
    <col min="19" max="19" width="8.21875" style="2" customWidth="1"/>
    <col min="20" max="20" width="12" style="2" customWidth="1"/>
    <col min="21" max="21" width="7.109375" style="2" customWidth="1"/>
    <col min="22" max="256" width="9.77734375" style="2" customWidth="1"/>
    <col min="257" max="16384" width="11.5546875" style="2"/>
  </cols>
  <sheetData>
    <row r="1" spans="1:21">
      <c r="A1" s="3" t="s">
        <v>2229</v>
      </c>
      <c r="B1" s="26"/>
      <c r="C1" s="26"/>
    </row>
    <row r="2" spans="1:21">
      <c r="B2" s="43" t="s">
        <v>2074</v>
      </c>
      <c r="C2" s="43"/>
      <c r="D2" s="43"/>
      <c r="E2" s="43"/>
      <c r="F2" s="43"/>
      <c r="G2" s="43"/>
      <c r="H2" s="49" t="s">
        <v>2075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1" s="5" customFormat="1">
      <c r="B3" s="41" t="s">
        <v>2076</v>
      </c>
      <c r="C3" s="41"/>
      <c r="D3" s="48" t="s">
        <v>2077</v>
      </c>
      <c r="E3" s="48"/>
      <c r="F3" s="50" t="s">
        <v>2078</v>
      </c>
      <c r="G3" s="50"/>
      <c r="H3" s="41" t="s">
        <v>164</v>
      </c>
      <c r="I3" s="41"/>
      <c r="J3" s="41" t="s">
        <v>165</v>
      </c>
      <c r="K3" s="41"/>
      <c r="L3" s="41" t="s">
        <v>166</v>
      </c>
      <c r="M3" s="41"/>
      <c r="N3" s="41" t="s">
        <v>167</v>
      </c>
      <c r="O3" s="41"/>
      <c r="P3" s="41" t="s">
        <v>168</v>
      </c>
      <c r="Q3" s="41"/>
      <c r="R3" s="41" t="s">
        <v>2079</v>
      </c>
      <c r="S3" s="41"/>
      <c r="T3" s="48" t="s">
        <v>2080</v>
      </c>
      <c r="U3" s="48"/>
    </row>
    <row r="4" spans="1:21">
      <c r="A4" s="1" t="s">
        <v>4</v>
      </c>
      <c r="B4" s="2">
        <v>7561</v>
      </c>
      <c r="C4" s="2"/>
      <c r="D4" s="18">
        <v>7177</v>
      </c>
      <c r="E4" s="18"/>
      <c r="F4" s="28">
        <v>7177</v>
      </c>
      <c r="G4" s="28"/>
      <c r="H4" s="2">
        <v>7460</v>
      </c>
      <c r="J4" s="2">
        <v>7364</v>
      </c>
      <c r="L4" s="2">
        <v>7060</v>
      </c>
      <c r="N4" s="2">
        <v>7335</v>
      </c>
      <c r="P4" s="2">
        <v>7424</v>
      </c>
      <c r="R4" s="2">
        <v>7211</v>
      </c>
      <c r="T4" s="18">
        <v>7177</v>
      </c>
      <c r="U4" s="18"/>
    </row>
    <row r="5" spans="1:21">
      <c r="A5" s="1" t="s">
        <v>2081</v>
      </c>
      <c r="B5" s="2">
        <v>8118</v>
      </c>
      <c r="C5" s="2"/>
      <c r="D5" s="18">
        <v>7343</v>
      </c>
      <c r="E5" s="18"/>
      <c r="F5" s="28">
        <v>7177</v>
      </c>
      <c r="G5" s="28"/>
      <c r="H5" s="2">
        <v>8013</v>
      </c>
      <c r="J5" s="2">
        <v>7908</v>
      </c>
      <c r="L5" s="2">
        <v>7583</v>
      </c>
      <c r="N5" s="2">
        <v>7885</v>
      </c>
      <c r="P5" s="2">
        <v>7594</v>
      </c>
      <c r="R5" s="2">
        <v>7378</v>
      </c>
      <c r="T5" s="18">
        <v>7177</v>
      </c>
      <c r="U5" s="18"/>
    </row>
    <row r="6" spans="1:21">
      <c r="A6" s="1" t="s">
        <v>5</v>
      </c>
      <c r="B6" s="2">
        <v>42733</v>
      </c>
      <c r="C6" s="2"/>
      <c r="D6" s="18">
        <v>41876</v>
      </c>
      <c r="E6" s="18"/>
      <c r="F6" s="28">
        <v>41568</v>
      </c>
      <c r="G6" s="28"/>
      <c r="H6" s="2">
        <v>42589</v>
      </c>
      <c r="J6" s="2">
        <v>42403</v>
      </c>
      <c r="L6" s="2">
        <v>41669</v>
      </c>
      <c r="N6" s="2">
        <v>42500</v>
      </c>
      <c r="P6" s="2">
        <v>42164</v>
      </c>
      <c r="R6" s="2">
        <v>41948</v>
      </c>
      <c r="T6" s="18">
        <v>41585</v>
      </c>
      <c r="U6" s="18"/>
    </row>
    <row r="7" spans="1:21">
      <c r="A7" s="1" t="s">
        <v>6</v>
      </c>
      <c r="B7" s="2">
        <v>34740</v>
      </c>
      <c r="C7" s="2"/>
      <c r="D7" s="18">
        <v>34561</v>
      </c>
      <c r="E7" s="18"/>
      <c r="F7" s="28">
        <v>34391</v>
      </c>
      <c r="G7" s="28"/>
      <c r="H7" s="2">
        <v>34702</v>
      </c>
      <c r="J7" s="2">
        <v>34623</v>
      </c>
      <c r="L7" s="2">
        <v>34211</v>
      </c>
      <c r="N7" s="2">
        <v>34740</v>
      </c>
      <c r="P7" s="2">
        <v>34598</v>
      </c>
      <c r="R7" s="2">
        <v>34598</v>
      </c>
      <c r="T7" s="18">
        <v>34408</v>
      </c>
      <c r="U7" s="18"/>
    </row>
    <row r="8" spans="1:21">
      <c r="B8" s="2"/>
      <c r="C8" s="2"/>
      <c r="D8" s="18"/>
      <c r="E8" s="18"/>
      <c r="F8" s="28"/>
      <c r="G8" s="28"/>
      <c r="T8" s="18"/>
      <c r="U8" s="18"/>
    </row>
    <row r="9" spans="1:21">
      <c r="A9" s="1" t="s">
        <v>7</v>
      </c>
      <c r="B9" s="2" t="s">
        <v>2021</v>
      </c>
      <c r="C9" s="2" t="s">
        <v>1388</v>
      </c>
      <c r="D9" s="18" t="s">
        <v>2230</v>
      </c>
      <c r="E9" s="18" t="s">
        <v>1394</v>
      </c>
      <c r="F9" s="28" t="s">
        <v>2231</v>
      </c>
      <c r="G9" s="28" t="s">
        <v>1376</v>
      </c>
      <c r="H9" s="2" t="s">
        <v>2232</v>
      </c>
      <c r="I9" s="2" t="s">
        <v>1392</v>
      </c>
      <c r="J9" s="2" t="s">
        <v>2233</v>
      </c>
      <c r="K9" s="2" t="s">
        <v>1203</v>
      </c>
      <c r="L9" s="2" t="s">
        <v>2234</v>
      </c>
      <c r="M9" s="2" t="s">
        <v>518</v>
      </c>
      <c r="N9" s="2" t="s">
        <v>2235</v>
      </c>
      <c r="O9" s="2" t="s">
        <v>1392</v>
      </c>
      <c r="P9" s="2" t="s">
        <v>2236</v>
      </c>
      <c r="Q9" s="2" t="s">
        <v>1392</v>
      </c>
      <c r="R9" s="2" t="s">
        <v>2237</v>
      </c>
      <c r="S9" s="2" t="s">
        <v>1392</v>
      </c>
      <c r="T9" s="18" t="s">
        <v>2238</v>
      </c>
      <c r="U9" s="18" t="s">
        <v>1203</v>
      </c>
    </row>
    <row r="10" spans="1:21">
      <c r="A10" s="1" t="s">
        <v>14</v>
      </c>
      <c r="B10" s="2" t="s">
        <v>2025</v>
      </c>
      <c r="C10" s="2" t="s">
        <v>1766</v>
      </c>
      <c r="D10" s="18" t="s">
        <v>2239</v>
      </c>
      <c r="E10" s="18" t="s">
        <v>1191</v>
      </c>
      <c r="F10" s="28" t="s">
        <v>2240</v>
      </c>
      <c r="G10" s="28" t="s">
        <v>107</v>
      </c>
      <c r="H10" s="2" t="s">
        <v>2241</v>
      </c>
      <c r="I10" s="2" t="s">
        <v>1952</v>
      </c>
      <c r="J10" s="2" t="s">
        <v>2242</v>
      </c>
      <c r="K10" s="2" t="s">
        <v>1839</v>
      </c>
      <c r="L10" s="2" t="s">
        <v>2243</v>
      </c>
      <c r="M10" s="2" t="s">
        <v>1191</v>
      </c>
      <c r="N10" s="2" t="s">
        <v>2244</v>
      </c>
      <c r="O10" s="2" t="s">
        <v>1839</v>
      </c>
      <c r="P10" s="2" t="s">
        <v>2245</v>
      </c>
      <c r="Q10" s="2" t="s">
        <v>1839</v>
      </c>
      <c r="R10" s="2" t="s">
        <v>2246</v>
      </c>
      <c r="S10" s="2" t="s">
        <v>1188</v>
      </c>
      <c r="T10" s="18" t="s">
        <v>2247</v>
      </c>
      <c r="U10" s="18" t="s">
        <v>107</v>
      </c>
    </row>
    <row r="11" spans="1:21">
      <c r="A11" s="1" t="s">
        <v>21</v>
      </c>
      <c r="B11" s="2" t="s">
        <v>2029</v>
      </c>
      <c r="C11" s="2" t="s">
        <v>271</v>
      </c>
      <c r="D11" s="18" t="s">
        <v>2248</v>
      </c>
      <c r="E11" s="18" t="s">
        <v>271</v>
      </c>
      <c r="F11" s="28" t="s">
        <v>2249</v>
      </c>
      <c r="G11" s="28" t="s">
        <v>276</v>
      </c>
      <c r="H11" s="2" t="s">
        <v>2250</v>
      </c>
      <c r="I11" s="2" t="s">
        <v>271</v>
      </c>
      <c r="J11" s="2" t="s">
        <v>2251</v>
      </c>
      <c r="K11" s="2" t="s">
        <v>125</v>
      </c>
      <c r="L11" s="2" t="s">
        <v>2252</v>
      </c>
      <c r="M11" s="2" t="s">
        <v>308</v>
      </c>
      <c r="N11" s="2" t="s">
        <v>2029</v>
      </c>
      <c r="O11" s="2" t="s">
        <v>271</v>
      </c>
      <c r="P11" s="2" t="s">
        <v>2253</v>
      </c>
      <c r="Q11" s="2" t="s">
        <v>271</v>
      </c>
      <c r="R11" s="2" t="s">
        <v>2253</v>
      </c>
      <c r="S11" s="2" t="s">
        <v>271</v>
      </c>
      <c r="T11" s="18" t="s">
        <v>2254</v>
      </c>
      <c r="U11" s="18" t="s">
        <v>125</v>
      </c>
    </row>
    <row r="12" spans="1:21">
      <c r="A12" s="1" t="s">
        <v>28</v>
      </c>
      <c r="B12" s="2" t="s">
        <v>2033</v>
      </c>
      <c r="C12" s="2" t="s">
        <v>216</v>
      </c>
      <c r="D12" s="18" t="s">
        <v>2255</v>
      </c>
      <c r="E12" s="18" t="s">
        <v>18</v>
      </c>
      <c r="F12" s="28" t="s">
        <v>2256</v>
      </c>
      <c r="G12" s="28" t="s">
        <v>18</v>
      </c>
      <c r="H12" s="2" t="s">
        <v>2257</v>
      </c>
      <c r="I12" s="2" t="s">
        <v>216</v>
      </c>
      <c r="J12" s="2" t="s">
        <v>2258</v>
      </c>
      <c r="K12" s="2" t="s">
        <v>20</v>
      </c>
      <c r="L12" s="2" t="s">
        <v>2259</v>
      </c>
      <c r="M12" s="2" t="s">
        <v>1856</v>
      </c>
      <c r="N12" s="2" t="s">
        <v>2033</v>
      </c>
      <c r="O12" s="2" t="s">
        <v>216</v>
      </c>
      <c r="P12" s="2" t="s">
        <v>2260</v>
      </c>
      <c r="Q12" s="2" t="s">
        <v>20</v>
      </c>
      <c r="R12" s="2" t="s">
        <v>2260</v>
      </c>
      <c r="S12" s="2" t="s">
        <v>20</v>
      </c>
      <c r="T12" s="18" t="s">
        <v>2261</v>
      </c>
      <c r="U12" s="18" t="s">
        <v>1856</v>
      </c>
    </row>
    <row r="13" spans="1:21">
      <c r="A13" s="1" t="s">
        <v>34</v>
      </c>
      <c r="B13" s="2" t="s">
        <v>2037</v>
      </c>
      <c r="C13" s="2" t="s">
        <v>515</v>
      </c>
      <c r="D13" s="18" t="s">
        <v>2262</v>
      </c>
      <c r="E13" s="18" t="s">
        <v>20</v>
      </c>
      <c r="F13" s="28" t="s">
        <v>2263</v>
      </c>
      <c r="G13" s="28" t="s">
        <v>20</v>
      </c>
      <c r="H13" s="2" t="s">
        <v>2264</v>
      </c>
      <c r="I13" s="2" t="s">
        <v>18</v>
      </c>
      <c r="J13" s="2" t="s">
        <v>2265</v>
      </c>
      <c r="K13" s="2" t="s">
        <v>209</v>
      </c>
      <c r="L13" s="2" t="s">
        <v>2266</v>
      </c>
      <c r="M13" s="2" t="s">
        <v>1392</v>
      </c>
      <c r="N13" s="2" t="s">
        <v>2267</v>
      </c>
      <c r="O13" s="2" t="s">
        <v>18</v>
      </c>
      <c r="P13" s="2" t="s">
        <v>2268</v>
      </c>
      <c r="Q13" s="2" t="s">
        <v>1856</v>
      </c>
      <c r="R13" s="2" t="s">
        <v>2269</v>
      </c>
      <c r="S13" s="2" t="s">
        <v>18</v>
      </c>
      <c r="T13" s="18" t="s">
        <v>2262</v>
      </c>
      <c r="U13" s="18" t="s">
        <v>20</v>
      </c>
    </row>
    <row r="14" spans="1:21">
      <c r="A14" s="1" t="s">
        <v>40</v>
      </c>
      <c r="B14" s="2" t="s">
        <v>2041</v>
      </c>
      <c r="C14" s="2" t="s">
        <v>451</v>
      </c>
      <c r="D14" s="18" t="s">
        <v>2270</v>
      </c>
      <c r="E14" s="18" t="s">
        <v>149</v>
      </c>
      <c r="F14" s="28" t="s">
        <v>2270</v>
      </c>
      <c r="G14" s="28" t="s">
        <v>149</v>
      </c>
      <c r="H14" s="2" t="s">
        <v>2271</v>
      </c>
      <c r="I14" s="2" t="s">
        <v>666</v>
      </c>
      <c r="J14" s="2" t="s">
        <v>2272</v>
      </c>
      <c r="K14" s="2" t="s">
        <v>1095</v>
      </c>
      <c r="L14" s="2" t="s">
        <v>2273</v>
      </c>
      <c r="M14" s="2" t="s">
        <v>371</v>
      </c>
      <c r="N14" s="2" t="s">
        <v>2274</v>
      </c>
      <c r="O14" s="2" t="s">
        <v>954</v>
      </c>
      <c r="P14" s="2" t="s">
        <v>2275</v>
      </c>
      <c r="Q14" s="2" t="s">
        <v>158</v>
      </c>
      <c r="R14" s="2" t="s">
        <v>2276</v>
      </c>
      <c r="S14" s="2" t="s">
        <v>304</v>
      </c>
      <c r="T14" s="18" t="s">
        <v>2270</v>
      </c>
      <c r="U14" s="18" t="s">
        <v>149</v>
      </c>
    </row>
    <row r="15" spans="1:21">
      <c r="B15" s="2"/>
      <c r="C15" s="2"/>
      <c r="D15" s="18"/>
      <c r="E15" s="18"/>
      <c r="F15" s="28"/>
      <c r="G15" s="28"/>
      <c r="T15" s="18"/>
      <c r="U15" s="18"/>
    </row>
    <row r="16" spans="1:21">
      <c r="A16" s="1" t="s">
        <v>47</v>
      </c>
      <c r="B16" s="2">
        <v>5428</v>
      </c>
      <c r="C16" s="2"/>
      <c r="D16" s="18">
        <v>5405</v>
      </c>
      <c r="E16" s="18"/>
      <c r="F16" s="28">
        <v>5381</v>
      </c>
      <c r="G16" s="28"/>
      <c r="H16" s="2">
        <v>5422</v>
      </c>
      <c r="J16" s="2">
        <v>5405</v>
      </c>
      <c r="L16" s="2">
        <v>5309</v>
      </c>
      <c r="N16" s="2">
        <v>5423</v>
      </c>
      <c r="P16" s="2">
        <v>5412</v>
      </c>
      <c r="R16" s="2">
        <v>5407</v>
      </c>
      <c r="T16" s="18">
        <v>5353</v>
      </c>
      <c r="U16" s="18"/>
    </row>
    <row r="17" spans="1:21">
      <c r="A17" s="1" t="s">
        <v>48</v>
      </c>
      <c r="B17" s="2" t="s">
        <v>2045</v>
      </c>
      <c r="C17" s="10" t="s">
        <v>2046</v>
      </c>
      <c r="D17" s="18" t="s">
        <v>2277</v>
      </c>
      <c r="E17" s="29" t="s">
        <v>1441</v>
      </c>
      <c r="F17" s="28" t="s">
        <v>2278</v>
      </c>
      <c r="G17" s="28" t="s">
        <v>2279</v>
      </c>
      <c r="H17" s="2" t="s">
        <v>2280</v>
      </c>
      <c r="I17" s="10" t="s">
        <v>1225</v>
      </c>
      <c r="J17" s="2" t="s">
        <v>2281</v>
      </c>
      <c r="K17" s="10" t="s">
        <v>2282</v>
      </c>
      <c r="L17" s="2" t="s">
        <v>2283</v>
      </c>
      <c r="M17" s="10" t="s">
        <v>2284</v>
      </c>
      <c r="N17" s="2" t="s">
        <v>2285</v>
      </c>
      <c r="O17" s="10" t="s">
        <v>2286</v>
      </c>
      <c r="P17" s="2" t="s">
        <v>2287</v>
      </c>
      <c r="Q17" s="10" t="s">
        <v>1978</v>
      </c>
      <c r="R17" s="2" t="s">
        <v>2288</v>
      </c>
      <c r="S17" s="10">
        <v>0.75</v>
      </c>
      <c r="T17" s="18" t="s">
        <v>2289</v>
      </c>
      <c r="U17" s="18" t="s">
        <v>1781</v>
      </c>
    </row>
    <row r="18" spans="1:21">
      <c r="A18" s="1" t="s">
        <v>1215</v>
      </c>
      <c r="B18" s="2" t="s">
        <v>2049</v>
      </c>
      <c r="C18" s="10" t="s">
        <v>2050</v>
      </c>
      <c r="D18" s="18" t="s">
        <v>2290</v>
      </c>
      <c r="E18" s="29" t="s">
        <v>1981</v>
      </c>
      <c r="F18" s="28" t="s">
        <v>2291</v>
      </c>
      <c r="G18" s="28" t="s">
        <v>2292</v>
      </c>
      <c r="H18" s="2" t="s">
        <v>2293</v>
      </c>
      <c r="I18" s="10" t="s">
        <v>2159</v>
      </c>
      <c r="J18" s="2" t="s">
        <v>2290</v>
      </c>
      <c r="K18" s="10" t="s">
        <v>1981</v>
      </c>
      <c r="L18" s="2" t="s">
        <v>2294</v>
      </c>
      <c r="M18" s="10">
        <v>0.8</v>
      </c>
      <c r="N18" s="2" t="s">
        <v>2295</v>
      </c>
      <c r="O18" s="10" t="s">
        <v>2159</v>
      </c>
      <c r="P18" s="2" t="s">
        <v>2296</v>
      </c>
      <c r="Q18" s="10" t="s">
        <v>2162</v>
      </c>
      <c r="R18" s="2" t="s">
        <v>2297</v>
      </c>
      <c r="S18" s="10" t="s">
        <v>1981</v>
      </c>
      <c r="T18" s="18" t="s">
        <v>2298</v>
      </c>
      <c r="U18" s="18" t="s">
        <v>2299</v>
      </c>
    </row>
    <row r="19" spans="1:21">
      <c r="A19" s="1" t="s">
        <v>599</v>
      </c>
      <c r="B19" s="2" t="s">
        <v>2055</v>
      </c>
      <c r="C19" s="10" t="s">
        <v>2056</v>
      </c>
      <c r="D19" s="18" t="s">
        <v>2300</v>
      </c>
      <c r="E19" s="29" t="s">
        <v>2301</v>
      </c>
      <c r="F19" s="28" t="s">
        <v>2302</v>
      </c>
      <c r="G19" s="28" t="s">
        <v>2303</v>
      </c>
      <c r="H19" s="2" t="s">
        <v>2304</v>
      </c>
      <c r="I19" s="10" t="s">
        <v>2056</v>
      </c>
      <c r="J19" s="2" t="s">
        <v>2305</v>
      </c>
      <c r="K19" s="10" t="s">
        <v>2175</v>
      </c>
      <c r="L19" s="2" t="s">
        <v>2306</v>
      </c>
      <c r="M19" s="10" t="s">
        <v>2175</v>
      </c>
      <c r="N19" s="2" t="s">
        <v>2307</v>
      </c>
      <c r="O19" s="10" t="s">
        <v>2175</v>
      </c>
      <c r="P19" s="2" t="s">
        <v>2308</v>
      </c>
      <c r="Q19" s="10">
        <v>0.83</v>
      </c>
      <c r="R19" s="2" t="s">
        <v>2309</v>
      </c>
      <c r="S19" s="10">
        <v>0.83</v>
      </c>
      <c r="T19" s="18" t="s">
        <v>2310</v>
      </c>
      <c r="U19" s="18" t="s">
        <v>2311</v>
      </c>
    </row>
    <row r="20" spans="1:21">
      <c r="B20" s="2"/>
      <c r="C20" s="2"/>
      <c r="D20" s="18"/>
      <c r="E20" s="18"/>
      <c r="F20" s="28"/>
      <c r="G20" s="28"/>
      <c r="T20" s="18"/>
      <c r="U20" s="18"/>
    </row>
    <row r="21" spans="1:21">
      <c r="B21" s="2"/>
      <c r="C21" s="2"/>
      <c r="D21" s="18"/>
      <c r="E21" s="18"/>
      <c r="F21" s="28"/>
      <c r="G21" s="28"/>
      <c r="T21" s="18"/>
      <c r="U21" s="18"/>
    </row>
    <row r="22" spans="1:21">
      <c r="A22" s="1" t="s">
        <v>69</v>
      </c>
      <c r="B22" s="2"/>
      <c r="C22" s="2"/>
      <c r="D22" s="18"/>
      <c r="E22" s="18"/>
      <c r="F22" s="28"/>
      <c r="G22" s="28"/>
      <c r="T22" s="18"/>
      <c r="U22" s="18"/>
    </row>
    <row r="23" spans="1:21">
      <c r="B23" s="2"/>
      <c r="C23" s="2"/>
      <c r="D23" s="18"/>
      <c r="E23" s="18"/>
      <c r="F23" s="28"/>
      <c r="G23" s="28"/>
      <c r="T23" s="18"/>
      <c r="U23" s="18"/>
    </row>
    <row r="24" spans="1:21">
      <c r="A24" s="1" t="s">
        <v>70</v>
      </c>
      <c r="B24" s="2">
        <v>6799</v>
      </c>
      <c r="C24" s="2"/>
      <c r="D24" s="18">
        <v>6750</v>
      </c>
      <c r="E24" s="18"/>
      <c r="F24" s="28">
        <v>6750</v>
      </c>
      <c r="G24" s="28"/>
      <c r="H24" s="2">
        <v>6778</v>
      </c>
      <c r="J24" s="2">
        <v>6741</v>
      </c>
      <c r="L24" s="2">
        <v>6579</v>
      </c>
      <c r="N24" s="2">
        <v>6762</v>
      </c>
      <c r="P24" s="2">
        <v>6799</v>
      </c>
      <c r="R24" s="2">
        <v>6762</v>
      </c>
      <c r="T24" s="18">
        <v>6750</v>
      </c>
      <c r="U24" s="18"/>
    </row>
    <row r="25" spans="1:21">
      <c r="A25" s="1" t="s">
        <v>71</v>
      </c>
      <c r="B25" s="2">
        <v>6523</v>
      </c>
      <c r="C25" s="2"/>
      <c r="D25" s="18">
        <v>6508</v>
      </c>
      <c r="E25" s="18"/>
      <c r="F25" s="28">
        <v>6507</v>
      </c>
      <c r="G25" s="28"/>
      <c r="H25" s="2">
        <v>6515</v>
      </c>
      <c r="J25" s="2">
        <v>6491</v>
      </c>
      <c r="L25" s="2">
        <v>6371</v>
      </c>
      <c r="N25" s="2">
        <v>6513</v>
      </c>
      <c r="P25" s="2">
        <v>6521</v>
      </c>
      <c r="R25" s="2">
        <v>6511</v>
      </c>
      <c r="T25" s="18">
        <v>6508</v>
      </c>
      <c r="U25" s="18"/>
    </row>
    <row r="26" spans="1:21">
      <c r="A26" s="1" t="s">
        <v>72</v>
      </c>
      <c r="B26" s="2">
        <v>41437</v>
      </c>
      <c r="C26" s="2"/>
      <c r="D26" s="18">
        <v>41003</v>
      </c>
      <c r="E26" s="18"/>
      <c r="F26" s="28">
        <v>40702</v>
      </c>
      <c r="G26" s="28"/>
      <c r="H26" s="2">
        <v>41399</v>
      </c>
      <c r="J26" s="2">
        <v>41288</v>
      </c>
      <c r="L26" s="2">
        <v>40777</v>
      </c>
      <c r="N26" s="2">
        <v>41394</v>
      </c>
      <c r="P26" s="2">
        <v>41068</v>
      </c>
      <c r="R26" s="2">
        <v>41029</v>
      </c>
      <c r="T26" s="18">
        <v>40721</v>
      </c>
      <c r="U26" s="18"/>
    </row>
    <row r="27" spans="1:21">
      <c r="A27" s="1" t="s">
        <v>73</v>
      </c>
      <c r="B27" s="2">
        <v>34217</v>
      </c>
      <c r="C27" s="2"/>
      <c r="D27" s="18">
        <v>34117</v>
      </c>
      <c r="E27" s="18"/>
      <c r="F27" s="28">
        <v>33952</v>
      </c>
      <c r="G27" s="28"/>
      <c r="H27" s="2">
        <v>34204</v>
      </c>
      <c r="J27" s="2">
        <v>34140</v>
      </c>
      <c r="L27" s="2">
        <v>33808</v>
      </c>
      <c r="N27" s="2">
        <v>34217</v>
      </c>
      <c r="P27" s="2">
        <v>34130</v>
      </c>
      <c r="R27" s="2">
        <v>34130</v>
      </c>
      <c r="T27" s="18">
        <v>33971</v>
      </c>
      <c r="U27" s="18"/>
    </row>
    <row r="28" spans="1:21">
      <c r="A28" s="1" t="s">
        <v>74</v>
      </c>
      <c r="B28" s="2">
        <v>42256</v>
      </c>
      <c r="C28" s="2"/>
      <c r="D28" s="18">
        <v>42216</v>
      </c>
      <c r="E28" s="18"/>
      <c r="F28" s="28">
        <v>42210</v>
      </c>
      <c r="G28" s="28"/>
      <c r="H28" s="2">
        <v>42241</v>
      </c>
      <c r="J28" s="2">
        <v>42142</v>
      </c>
      <c r="L28" s="2">
        <v>41648</v>
      </c>
      <c r="N28" s="2">
        <v>42234</v>
      </c>
      <c r="P28" s="2">
        <v>42247</v>
      </c>
      <c r="R28" s="2">
        <v>42225</v>
      </c>
      <c r="T28" s="18">
        <v>42216</v>
      </c>
      <c r="U28" s="18"/>
    </row>
    <row r="29" spans="1:21">
      <c r="A29" s="1" t="s">
        <v>75</v>
      </c>
      <c r="B29" s="2">
        <v>35642</v>
      </c>
      <c r="C29" s="2"/>
      <c r="D29" s="18">
        <v>35618</v>
      </c>
      <c r="E29" s="18"/>
      <c r="F29" s="28">
        <v>35613</v>
      </c>
      <c r="G29" s="28"/>
      <c r="H29" s="2">
        <v>35636</v>
      </c>
      <c r="J29" s="2">
        <v>35562</v>
      </c>
      <c r="L29" s="2">
        <v>35188</v>
      </c>
      <c r="N29" s="2">
        <v>35630</v>
      </c>
      <c r="P29" s="2">
        <v>35635</v>
      </c>
      <c r="R29" s="2">
        <v>35623</v>
      </c>
      <c r="T29" s="18">
        <v>35618</v>
      </c>
      <c r="U29" s="18"/>
    </row>
    <row r="30" spans="1:21">
      <c r="B30" s="2"/>
      <c r="C30" s="2"/>
      <c r="D30" s="18"/>
      <c r="E30" s="18"/>
      <c r="F30" s="28"/>
      <c r="G30" s="28"/>
      <c r="T30" s="18"/>
      <c r="U30" s="18"/>
    </row>
    <row r="31" spans="1:21">
      <c r="A31" s="1" t="s">
        <v>7</v>
      </c>
      <c r="B31" s="2" t="s">
        <v>2060</v>
      </c>
      <c r="C31" s="2" t="s">
        <v>1841</v>
      </c>
      <c r="D31" s="18" t="s">
        <v>2312</v>
      </c>
      <c r="E31" s="18" t="s">
        <v>1839</v>
      </c>
      <c r="F31" s="28" t="s">
        <v>2313</v>
      </c>
      <c r="G31" s="28" t="s">
        <v>1952</v>
      </c>
      <c r="H31" s="2" t="s">
        <v>2314</v>
      </c>
      <c r="I31" s="2" t="s">
        <v>1841</v>
      </c>
      <c r="J31" s="2" t="s">
        <v>2315</v>
      </c>
      <c r="K31" s="2" t="s">
        <v>1841</v>
      </c>
      <c r="L31" s="2" t="s">
        <v>2316</v>
      </c>
      <c r="M31" s="2" t="s">
        <v>1839</v>
      </c>
      <c r="N31" s="2" t="s">
        <v>2317</v>
      </c>
      <c r="O31" s="2" t="s">
        <v>1841</v>
      </c>
      <c r="P31" s="2" t="s">
        <v>2318</v>
      </c>
      <c r="Q31" s="2" t="s">
        <v>1841</v>
      </c>
      <c r="R31" s="2" t="s">
        <v>2319</v>
      </c>
      <c r="S31" s="2" t="s">
        <v>1841</v>
      </c>
      <c r="T31" s="18" t="s">
        <v>2320</v>
      </c>
      <c r="U31" s="18" t="s">
        <v>1836</v>
      </c>
    </row>
    <row r="32" spans="1:21">
      <c r="A32" s="1" t="s">
        <v>14</v>
      </c>
      <c r="B32" s="2" t="s">
        <v>2064</v>
      </c>
      <c r="C32" s="2" t="s">
        <v>84</v>
      </c>
      <c r="D32" s="18" t="s">
        <v>2321</v>
      </c>
      <c r="E32" s="18" t="s">
        <v>84</v>
      </c>
      <c r="F32" s="28" t="s">
        <v>2322</v>
      </c>
      <c r="G32" s="28" t="s">
        <v>77</v>
      </c>
      <c r="H32" s="2" t="s">
        <v>2323</v>
      </c>
      <c r="I32" s="2" t="s">
        <v>84</v>
      </c>
      <c r="J32" s="2" t="s">
        <v>2324</v>
      </c>
      <c r="K32" s="2" t="s">
        <v>84</v>
      </c>
      <c r="L32" s="2" t="s">
        <v>2325</v>
      </c>
      <c r="M32" s="2" t="s">
        <v>84</v>
      </c>
      <c r="N32" s="2" t="s">
        <v>2326</v>
      </c>
      <c r="O32" s="2" t="s">
        <v>84</v>
      </c>
      <c r="P32" s="2" t="s">
        <v>2327</v>
      </c>
      <c r="Q32" s="2" t="s">
        <v>84</v>
      </c>
      <c r="R32" s="2" t="s">
        <v>2328</v>
      </c>
      <c r="S32" s="2" t="s">
        <v>84</v>
      </c>
      <c r="T32" s="18" t="s">
        <v>2329</v>
      </c>
      <c r="U32" s="18" t="s">
        <v>84</v>
      </c>
    </row>
    <row r="33" spans="1:21">
      <c r="A33" s="1" t="s">
        <v>21</v>
      </c>
      <c r="B33" s="2" t="s">
        <v>2068</v>
      </c>
      <c r="C33" s="2" t="s">
        <v>44</v>
      </c>
      <c r="D33" s="18" t="s">
        <v>2330</v>
      </c>
      <c r="E33" s="18" t="s">
        <v>44</v>
      </c>
      <c r="F33" s="28" t="s">
        <v>2331</v>
      </c>
      <c r="G33" s="28" t="s">
        <v>532</v>
      </c>
      <c r="H33" s="2" t="s">
        <v>2332</v>
      </c>
      <c r="I33" s="2" t="s">
        <v>44</v>
      </c>
      <c r="J33" s="2" t="s">
        <v>2333</v>
      </c>
      <c r="K33" s="2" t="s">
        <v>44</v>
      </c>
      <c r="L33" s="2" t="s">
        <v>2334</v>
      </c>
      <c r="M33" s="2" t="s">
        <v>1380</v>
      </c>
      <c r="N33" s="2" t="s">
        <v>2335</v>
      </c>
      <c r="O33" s="2" t="s">
        <v>44</v>
      </c>
      <c r="P33" s="2" t="s">
        <v>2336</v>
      </c>
      <c r="Q33" s="2" t="s">
        <v>44</v>
      </c>
      <c r="R33" s="2" t="s">
        <v>2337</v>
      </c>
      <c r="S33" s="2" t="s">
        <v>44</v>
      </c>
      <c r="T33" s="18" t="s">
        <v>2338</v>
      </c>
      <c r="U33" s="18" t="s">
        <v>1158</v>
      </c>
    </row>
    <row r="34" spans="1:21">
      <c r="A34" s="1" t="s">
        <v>28</v>
      </c>
      <c r="B34" s="2" t="s">
        <v>2072</v>
      </c>
      <c r="C34" s="2" t="s">
        <v>94</v>
      </c>
      <c r="D34" s="18" t="s">
        <v>2339</v>
      </c>
      <c r="E34" s="18" t="s">
        <v>94</v>
      </c>
      <c r="F34" s="28" t="s">
        <v>2340</v>
      </c>
      <c r="G34" s="28" t="s">
        <v>94</v>
      </c>
      <c r="H34" s="2" t="s">
        <v>2341</v>
      </c>
      <c r="I34" s="2" t="s">
        <v>94</v>
      </c>
      <c r="J34" s="2" t="s">
        <v>2342</v>
      </c>
      <c r="K34" s="2" t="s">
        <v>94</v>
      </c>
      <c r="L34" s="2" t="s">
        <v>2343</v>
      </c>
      <c r="M34" s="2" t="s">
        <v>94</v>
      </c>
      <c r="N34" s="2" t="s">
        <v>2072</v>
      </c>
      <c r="O34" s="2" t="s">
        <v>94</v>
      </c>
      <c r="P34" s="2" t="s">
        <v>2344</v>
      </c>
      <c r="Q34" s="2" t="s">
        <v>94</v>
      </c>
      <c r="R34" s="2" t="s">
        <v>2344</v>
      </c>
      <c r="S34" s="2" t="s">
        <v>94</v>
      </c>
      <c r="T34" s="18" t="s">
        <v>2345</v>
      </c>
      <c r="U34" s="18" t="s">
        <v>94</v>
      </c>
    </row>
    <row r="35" spans="1:21">
      <c r="D35" s="18"/>
      <c r="E35" s="18"/>
      <c r="T35" s="18"/>
      <c r="U35" s="18"/>
    </row>
    <row r="36" spans="1:21">
      <c r="D36" s="18"/>
      <c r="E36" s="18"/>
      <c r="T36" s="28"/>
      <c r="U36" s="28"/>
    </row>
    <row r="37" spans="1:21">
      <c r="D37" s="18"/>
      <c r="E37" s="18"/>
      <c r="T37" s="28"/>
      <c r="U37" s="28"/>
    </row>
    <row r="38" spans="1:21">
      <c r="A38" s="2" t="s">
        <v>2220</v>
      </c>
      <c r="D38" s="18"/>
      <c r="E38" s="18"/>
      <c r="T38" s="28"/>
      <c r="U38" s="28"/>
    </row>
    <row r="39" spans="1:21">
      <c r="A39" s="2" t="s">
        <v>2221</v>
      </c>
      <c r="D39" s="18"/>
      <c r="E39" s="18"/>
      <c r="T39" s="28"/>
      <c r="U39" s="28"/>
    </row>
    <row r="40" spans="1:21">
      <c r="A40" s="2" t="s">
        <v>2222</v>
      </c>
      <c r="D40" s="18"/>
      <c r="E40" s="18"/>
      <c r="T40" s="28"/>
      <c r="U40" s="28"/>
    </row>
    <row r="41" spans="1:21">
      <c r="A41" s="2" t="s">
        <v>2223</v>
      </c>
      <c r="D41" s="18"/>
      <c r="E41" s="18"/>
    </row>
    <row r="42" spans="1:21">
      <c r="A42" s="2" t="s">
        <v>2224</v>
      </c>
      <c r="D42" s="18"/>
      <c r="E42" s="18"/>
    </row>
    <row r="43" spans="1:21">
      <c r="A43" s="2" t="s">
        <v>2225</v>
      </c>
    </row>
    <row r="44" spans="1:21">
      <c r="A44" s="2" t="s">
        <v>2226</v>
      </c>
    </row>
  </sheetData>
  <sheetProtection selectLockedCells="1" selectUnlockedCells="1"/>
  <mergeCells count="12">
    <mergeCell ref="R3:S3"/>
    <mergeCell ref="T3:U3"/>
    <mergeCell ref="B2:G2"/>
    <mergeCell ref="H2:U2"/>
    <mergeCell ref="B3:C3"/>
    <mergeCell ref="D3:E3"/>
    <mergeCell ref="F3:G3"/>
    <mergeCell ref="H3:I3"/>
    <mergeCell ref="J3:K3"/>
    <mergeCell ref="L3:M3"/>
    <mergeCell ref="N3:O3"/>
    <mergeCell ref="P3:Q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="120" zoomScaleNormal="120" workbookViewId="0"/>
  </sheetViews>
  <sheetFormatPr baseColWidth="10" defaultRowHeight="13.2"/>
  <cols>
    <col min="1" max="1" width="49.33203125" style="1" customWidth="1"/>
    <col min="2" max="2" width="12" style="1" customWidth="1"/>
    <col min="3" max="3" width="7.109375" style="17" customWidth="1"/>
    <col min="4" max="4" width="12" style="18" customWidth="1"/>
    <col min="5" max="5" width="7.109375" style="18" customWidth="1"/>
    <col min="6" max="6" width="12" style="18" customWidth="1"/>
    <col min="7" max="7" width="7.109375" style="18" customWidth="1"/>
    <col min="8" max="8" width="12" style="24" customWidth="1"/>
    <col min="9" max="9" width="7.109375" style="24" customWidth="1"/>
    <col min="10" max="256" width="9.77734375" customWidth="1"/>
  </cols>
  <sheetData>
    <row r="1" spans="1:9">
      <c r="A1" s="3" t="s">
        <v>2346</v>
      </c>
      <c r="B1" s="26"/>
      <c r="C1" s="30"/>
    </row>
    <row r="2" spans="1:9">
      <c r="B2" s="16"/>
      <c r="C2" s="31"/>
      <c r="D2" s="31"/>
      <c r="E2" s="31"/>
      <c r="F2" s="31"/>
      <c r="G2" s="31"/>
      <c r="H2" s="32"/>
      <c r="I2" s="33"/>
    </row>
    <row r="3" spans="1:9">
      <c r="A3" s="5"/>
      <c r="B3" s="40" t="s">
        <v>2347</v>
      </c>
      <c r="C3" s="40"/>
      <c r="D3" s="51" t="s">
        <v>2348</v>
      </c>
      <c r="E3" s="51"/>
      <c r="F3" s="52" t="s">
        <v>2349</v>
      </c>
      <c r="G3" s="52"/>
      <c r="H3" s="53" t="s">
        <v>2350</v>
      </c>
      <c r="I3" s="53"/>
    </row>
    <row r="4" spans="1:9">
      <c r="A4" s="1" t="s">
        <v>4</v>
      </c>
      <c r="B4" s="2">
        <v>7656</v>
      </c>
      <c r="C4" s="18"/>
      <c r="D4" s="18">
        <v>7301</v>
      </c>
      <c r="F4" s="28">
        <v>7316</v>
      </c>
      <c r="G4" s="28"/>
      <c r="H4" s="24">
        <v>7398</v>
      </c>
    </row>
    <row r="5" spans="1:9">
      <c r="A5" s="1" t="s">
        <v>2081</v>
      </c>
      <c r="B5" s="19">
        <v>8280</v>
      </c>
      <c r="C5" s="34"/>
      <c r="D5" s="18">
        <v>7301</v>
      </c>
      <c r="F5" s="28">
        <v>7316</v>
      </c>
      <c r="G5" s="28"/>
      <c r="H5" s="24">
        <v>7400</v>
      </c>
    </row>
    <row r="6" spans="1:9">
      <c r="A6" s="1" t="s">
        <v>5</v>
      </c>
      <c r="B6" s="2">
        <v>43135</v>
      </c>
      <c r="C6" s="18"/>
      <c r="D6" s="18">
        <v>41891</v>
      </c>
      <c r="F6" s="28">
        <v>41935</v>
      </c>
      <c r="G6" s="28"/>
      <c r="H6" s="24">
        <v>42192</v>
      </c>
    </row>
    <row r="7" spans="1:9">
      <c r="A7" s="1" t="s">
        <v>6</v>
      </c>
      <c r="B7" s="2">
        <v>35022</v>
      </c>
      <c r="C7" s="18"/>
      <c r="D7" s="18">
        <v>34590</v>
      </c>
      <c r="F7" s="28">
        <v>34619</v>
      </c>
      <c r="G7" s="28"/>
      <c r="H7" s="24">
        <v>34792</v>
      </c>
    </row>
    <row r="8" spans="1:9">
      <c r="B8" s="2"/>
      <c r="C8" s="18"/>
      <c r="F8" s="28"/>
      <c r="G8" s="28"/>
    </row>
    <row r="9" spans="1:9">
      <c r="A9" s="1" t="s">
        <v>7</v>
      </c>
      <c r="B9" s="2" t="s">
        <v>1945</v>
      </c>
      <c r="C9" s="18" t="s">
        <v>1206</v>
      </c>
      <c r="D9" s="18" t="s">
        <v>2082</v>
      </c>
      <c r="E9" s="18" t="s">
        <v>1203</v>
      </c>
      <c r="F9" s="28" t="s">
        <v>2351</v>
      </c>
      <c r="G9" s="35" t="s">
        <v>1394</v>
      </c>
      <c r="H9" s="24" t="s">
        <v>2352</v>
      </c>
      <c r="I9" s="25" t="s">
        <v>1623</v>
      </c>
    </row>
    <row r="10" spans="1:9">
      <c r="A10" s="1" t="s">
        <v>14</v>
      </c>
      <c r="B10" s="2" t="s">
        <v>1951</v>
      </c>
      <c r="C10" s="18" t="s">
        <v>1952</v>
      </c>
      <c r="D10" s="18" t="s">
        <v>2091</v>
      </c>
      <c r="E10" s="18" t="s">
        <v>225</v>
      </c>
      <c r="F10" s="28" t="s">
        <v>2353</v>
      </c>
      <c r="G10" s="36" t="s">
        <v>225</v>
      </c>
      <c r="H10" s="24" t="s">
        <v>2354</v>
      </c>
      <c r="I10" s="25" t="s">
        <v>1191</v>
      </c>
    </row>
    <row r="11" spans="1:9">
      <c r="A11" s="1" t="s">
        <v>21</v>
      </c>
      <c r="B11" s="2" t="s">
        <v>1958</v>
      </c>
      <c r="C11" s="18" t="s">
        <v>46</v>
      </c>
      <c r="D11" s="18" t="s">
        <v>2102</v>
      </c>
      <c r="E11" s="18" t="s">
        <v>271</v>
      </c>
      <c r="F11" s="28" t="s">
        <v>2103</v>
      </c>
      <c r="G11" s="35" t="s">
        <v>526</v>
      </c>
      <c r="H11" s="24" t="s">
        <v>2355</v>
      </c>
      <c r="I11" s="25" t="s">
        <v>274</v>
      </c>
    </row>
    <row r="12" spans="1:9">
      <c r="A12" s="1" t="s">
        <v>28</v>
      </c>
      <c r="B12" s="2" t="s">
        <v>1964</v>
      </c>
      <c r="C12" s="18" t="s">
        <v>20</v>
      </c>
      <c r="D12" s="18" t="s">
        <v>2109</v>
      </c>
      <c r="E12" s="18" t="s">
        <v>515</v>
      </c>
      <c r="F12" s="28" t="s">
        <v>2356</v>
      </c>
      <c r="G12" s="35" t="s">
        <v>515</v>
      </c>
      <c r="H12" s="24" t="s">
        <v>2357</v>
      </c>
      <c r="I12" s="25" t="s">
        <v>18</v>
      </c>
    </row>
    <row r="13" spans="1:9">
      <c r="A13" s="1" t="s">
        <v>34</v>
      </c>
      <c r="B13" s="2" t="s">
        <v>1970</v>
      </c>
      <c r="C13" s="18" t="s">
        <v>18</v>
      </c>
      <c r="D13" s="18" t="s">
        <v>2118</v>
      </c>
      <c r="E13" s="18" t="s">
        <v>225</v>
      </c>
      <c r="F13" s="28" t="s">
        <v>2358</v>
      </c>
      <c r="G13" s="35" t="s">
        <v>209</v>
      </c>
      <c r="H13" s="24" t="s">
        <v>2359</v>
      </c>
      <c r="I13" s="25" t="s">
        <v>268</v>
      </c>
    </row>
    <row r="14" spans="1:9">
      <c r="A14" s="1" t="s">
        <v>40</v>
      </c>
      <c r="B14" s="2" t="s">
        <v>1976</v>
      </c>
      <c r="C14" s="18" t="s">
        <v>101</v>
      </c>
      <c r="D14" s="18" t="s">
        <v>2126</v>
      </c>
      <c r="E14" s="18" t="s">
        <v>276</v>
      </c>
      <c r="F14" s="28" t="s">
        <v>2360</v>
      </c>
      <c r="G14" s="35" t="s">
        <v>276</v>
      </c>
      <c r="H14" s="24" t="s">
        <v>2361</v>
      </c>
      <c r="I14" s="25" t="s">
        <v>278</v>
      </c>
    </row>
    <row r="15" spans="1:9">
      <c r="B15" s="2"/>
      <c r="C15" s="18"/>
      <c r="F15" s="28"/>
      <c r="G15" s="28"/>
    </row>
    <row r="16" spans="1:9">
      <c r="A16" s="1" t="s">
        <v>47</v>
      </c>
      <c r="B16" s="2">
        <v>5566</v>
      </c>
      <c r="C16" s="18"/>
      <c r="D16" s="18">
        <v>5519</v>
      </c>
      <c r="F16" s="28">
        <v>5527</v>
      </c>
      <c r="G16" s="28"/>
      <c r="H16" s="24">
        <v>5556</v>
      </c>
    </row>
    <row r="17" spans="1:10">
      <c r="A17" s="1" t="s">
        <v>48</v>
      </c>
      <c r="B17" s="2" t="s">
        <v>1979</v>
      </c>
      <c r="C17" s="29" t="s">
        <v>1225</v>
      </c>
      <c r="D17" s="18" t="s">
        <v>2137</v>
      </c>
      <c r="E17" s="18" t="s">
        <v>1440</v>
      </c>
      <c r="F17" s="28" t="s">
        <v>2362</v>
      </c>
      <c r="G17" s="36" t="s">
        <v>2142</v>
      </c>
      <c r="H17" s="24" t="s">
        <v>2363</v>
      </c>
      <c r="I17" s="25" t="s">
        <v>1443</v>
      </c>
    </row>
    <row r="18" spans="1:10">
      <c r="A18" s="1" t="s">
        <v>55</v>
      </c>
      <c r="B18" s="2" t="s">
        <v>1982</v>
      </c>
      <c r="C18" s="29" t="s">
        <v>1983</v>
      </c>
      <c r="D18" s="18" t="s">
        <v>2150</v>
      </c>
      <c r="E18" s="18" t="s">
        <v>2151</v>
      </c>
      <c r="F18" s="28" t="s">
        <v>2364</v>
      </c>
      <c r="G18" s="36" t="s">
        <v>2365</v>
      </c>
      <c r="H18" s="24" t="s">
        <v>2366</v>
      </c>
      <c r="I18" s="25" t="s">
        <v>2050</v>
      </c>
      <c r="J18" s="37"/>
    </row>
    <row r="19" spans="1:10">
      <c r="A19" s="1" t="s">
        <v>62</v>
      </c>
      <c r="B19" s="2" t="s">
        <v>1991</v>
      </c>
      <c r="C19" s="29" t="s">
        <v>1992</v>
      </c>
      <c r="D19" s="18" t="s">
        <v>2167</v>
      </c>
      <c r="E19" s="18" t="s">
        <v>2056</v>
      </c>
      <c r="F19" s="28" t="s">
        <v>2367</v>
      </c>
      <c r="G19" s="28" t="s">
        <v>2056</v>
      </c>
      <c r="H19" s="24" t="s">
        <v>2368</v>
      </c>
      <c r="I19" s="25" t="s">
        <v>2369</v>
      </c>
    </row>
    <row r="20" spans="1:10">
      <c r="B20" s="2"/>
      <c r="C20" s="18"/>
      <c r="F20" s="28"/>
      <c r="G20" s="38"/>
    </row>
    <row r="21" spans="1:10">
      <c r="B21" s="2"/>
      <c r="C21" s="18"/>
      <c r="F21" s="28"/>
      <c r="G21" s="28"/>
    </row>
    <row r="22" spans="1:10">
      <c r="A22" s="1" t="s">
        <v>69</v>
      </c>
      <c r="B22" s="2"/>
      <c r="C22" s="18"/>
      <c r="F22" s="28"/>
      <c r="G22" s="28"/>
    </row>
    <row r="23" spans="1:10">
      <c r="B23" s="2"/>
      <c r="C23" s="18"/>
      <c r="F23" s="28"/>
      <c r="G23" s="28"/>
    </row>
    <row r="24" spans="1:10">
      <c r="A24" s="1" t="s">
        <v>70</v>
      </c>
      <c r="B24" s="2">
        <v>6953</v>
      </c>
      <c r="C24" s="18"/>
      <c r="D24" s="18">
        <v>6892</v>
      </c>
      <c r="F24" s="28">
        <v>6906</v>
      </c>
      <c r="G24" s="28"/>
      <c r="H24" s="24">
        <v>6953</v>
      </c>
    </row>
    <row r="25" spans="1:10">
      <c r="A25" s="1" t="s">
        <v>71</v>
      </c>
      <c r="B25" s="2">
        <v>6666</v>
      </c>
      <c r="C25" s="18"/>
      <c r="D25" s="18">
        <v>6633</v>
      </c>
      <c r="F25" s="28">
        <v>6647</v>
      </c>
      <c r="G25" s="28"/>
      <c r="H25" s="24">
        <v>6692</v>
      </c>
    </row>
    <row r="26" spans="1:10">
      <c r="A26" s="1" t="s">
        <v>72</v>
      </c>
      <c r="B26" s="2">
        <v>41958</v>
      </c>
      <c r="C26" s="18"/>
      <c r="D26" s="18">
        <v>41108</v>
      </c>
      <c r="F26" s="28">
        <v>41150</v>
      </c>
      <c r="G26" s="28"/>
      <c r="H26" s="24">
        <v>41326</v>
      </c>
    </row>
    <row r="27" spans="1:10">
      <c r="A27" s="1" t="s">
        <v>73</v>
      </c>
      <c r="B27" s="2">
        <v>34560</v>
      </c>
      <c r="C27" s="18"/>
      <c r="D27" s="18">
        <v>34216</v>
      </c>
      <c r="F27" s="28">
        <v>34244</v>
      </c>
      <c r="G27" s="28"/>
      <c r="H27" s="24">
        <v>34371</v>
      </c>
    </row>
    <row r="28" spans="1:10">
      <c r="A28" s="1" t="s">
        <v>74</v>
      </c>
      <c r="B28" s="2">
        <v>42968</v>
      </c>
      <c r="C28" s="18"/>
      <c r="D28" s="18">
        <v>42873</v>
      </c>
      <c r="F28" s="28">
        <v>42921</v>
      </c>
      <c r="G28" s="28"/>
      <c r="H28" s="24">
        <v>43091</v>
      </c>
    </row>
    <row r="29" spans="1:10">
      <c r="A29" s="1" t="s">
        <v>75</v>
      </c>
      <c r="B29" s="2">
        <v>36055</v>
      </c>
      <c r="C29" s="18"/>
      <c r="D29" s="18">
        <v>35994</v>
      </c>
      <c r="F29" s="28">
        <v>36028</v>
      </c>
      <c r="G29" s="28"/>
      <c r="H29" s="24">
        <v>36152</v>
      </c>
    </row>
    <row r="30" spans="1:10">
      <c r="B30" s="2"/>
      <c r="C30" s="18"/>
      <c r="F30" s="28"/>
      <c r="G30" s="28"/>
    </row>
    <row r="31" spans="1:10">
      <c r="A31" s="1" t="s">
        <v>7</v>
      </c>
      <c r="B31" s="2" t="s">
        <v>1998</v>
      </c>
      <c r="C31" s="18" t="s">
        <v>1844</v>
      </c>
      <c r="D31" s="18" t="s">
        <v>2183</v>
      </c>
      <c r="E31" s="18" t="s">
        <v>1839</v>
      </c>
      <c r="F31" s="28" t="s">
        <v>2370</v>
      </c>
      <c r="G31" s="36" t="s">
        <v>1836</v>
      </c>
      <c r="H31" s="24" t="s">
        <v>2371</v>
      </c>
      <c r="I31" s="25" t="s">
        <v>1836</v>
      </c>
    </row>
    <row r="32" spans="1:10">
      <c r="A32" s="1" t="s">
        <v>14</v>
      </c>
      <c r="B32" s="2" t="s">
        <v>2004</v>
      </c>
      <c r="C32" s="18" t="s">
        <v>94</v>
      </c>
      <c r="D32" s="18" t="s">
        <v>2192</v>
      </c>
      <c r="E32" s="18" t="s">
        <v>84</v>
      </c>
      <c r="F32" s="28" t="s">
        <v>2372</v>
      </c>
      <c r="G32" s="36" t="s">
        <v>84</v>
      </c>
      <c r="H32" s="24" t="s">
        <v>2373</v>
      </c>
      <c r="I32" s="25" t="s">
        <v>84</v>
      </c>
    </row>
    <row r="33" spans="1:9">
      <c r="A33" s="1" t="s">
        <v>21</v>
      </c>
      <c r="B33" s="2" t="s">
        <v>2010</v>
      </c>
      <c r="C33" s="18" t="s">
        <v>1376</v>
      </c>
      <c r="D33" s="18" t="s">
        <v>2203</v>
      </c>
      <c r="E33" s="18" t="s">
        <v>44</v>
      </c>
      <c r="F33" s="28" t="s">
        <v>2374</v>
      </c>
      <c r="G33" s="36" t="s">
        <v>44</v>
      </c>
      <c r="H33" s="24" t="s">
        <v>2375</v>
      </c>
      <c r="I33" s="25" t="s">
        <v>44</v>
      </c>
    </row>
    <row r="34" spans="1:9">
      <c r="A34" s="1" t="s">
        <v>28</v>
      </c>
      <c r="B34" s="2" t="s">
        <v>2016</v>
      </c>
      <c r="C34" s="18" t="s">
        <v>691</v>
      </c>
      <c r="D34" s="18" t="s">
        <v>2212</v>
      </c>
      <c r="E34" s="18" t="s">
        <v>94</v>
      </c>
      <c r="F34" s="28" t="s">
        <v>2376</v>
      </c>
      <c r="G34" s="36" t="s">
        <v>94</v>
      </c>
      <c r="H34" s="24" t="s">
        <v>2377</v>
      </c>
      <c r="I34" s="25" t="s">
        <v>691</v>
      </c>
    </row>
    <row r="38" spans="1:9">
      <c r="A38" s="2" t="s">
        <v>2220</v>
      </c>
    </row>
    <row r="39" spans="1:9">
      <c r="A39" s="2" t="s">
        <v>2221</v>
      </c>
    </row>
    <row r="40" spans="1:9">
      <c r="A40" s="2" t="s">
        <v>2222</v>
      </c>
    </row>
    <row r="41" spans="1:9">
      <c r="A41" s="2" t="s">
        <v>2223</v>
      </c>
    </row>
    <row r="42" spans="1:9">
      <c r="A42" s="2" t="s">
        <v>2224</v>
      </c>
    </row>
    <row r="43" spans="1:9">
      <c r="A43" s="2" t="s">
        <v>2225</v>
      </c>
    </row>
    <row r="44" spans="1:9">
      <c r="A44" s="2" t="s">
        <v>2226</v>
      </c>
    </row>
    <row r="45" spans="1:9">
      <c r="A45" s="2" t="s">
        <v>2227</v>
      </c>
    </row>
    <row r="46" spans="1:9">
      <c r="A46" s="2" t="s">
        <v>2228</v>
      </c>
    </row>
  </sheetData>
  <sheetProtection selectLockedCells="1" selectUnlockedCells="1"/>
  <mergeCells count="4">
    <mergeCell ref="B3:C3"/>
    <mergeCell ref="D3:E3"/>
    <mergeCell ref="F3:G3"/>
    <mergeCell ref="H3:I3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="120" zoomScaleNormal="120" workbookViewId="0">
      <selection activeCell="F20" sqref="F20"/>
    </sheetView>
  </sheetViews>
  <sheetFormatPr baseColWidth="10" defaultRowHeight="13.2"/>
  <cols>
    <col min="1" max="1" width="51.6640625" customWidth="1"/>
    <col min="2" max="2" width="12" customWidth="1"/>
    <col min="3" max="3" width="7.109375" customWidth="1"/>
    <col min="4" max="4" width="12" customWidth="1"/>
    <col min="5" max="5" width="7.109375" customWidth="1"/>
    <col min="6" max="6" width="12" customWidth="1"/>
    <col min="7" max="7" width="7.109375" customWidth="1"/>
    <col min="8" max="8" width="12" customWidth="1"/>
    <col min="9" max="9" width="7.109375" customWidth="1"/>
    <col min="10" max="10" width="12" customWidth="1"/>
    <col min="11" max="11" width="7.109375" customWidth="1"/>
    <col min="12" max="256" width="9.77734375" customWidth="1"/>
  </cols>
  <sheetData>
    <row r="1" spans="1:11">
      <c r="A1" s="3" t="s">
        <v>2378</v>
      </c>
      <c r="B1" s="26"/>
      <c r="C1" s="26"/>
      <c r="D1" s="2"/>
      <c r="E1" s="2"/>
      <c r="F1" s="2"/>
      <c r="G1" s="2"/>
      <c r="H1" s="2"/>
      <c r="I1" s="2"/>
      <c r="J1" s="2"/>
      <c r="K1" s="2"/>
    </row>
    <row r="2" spans="1:11">
      <c r="A2" s="1"/>
      <c r="B2" s="16"/>
      <c r="C2" s="13"/>
      <c r="D2" s="13"/>
      <c r="E2" s="13"/>
      <c r="F2" s="13"/>
      <c r="G2" s="13"/>
      <c r="H2" s="27"/>
      <c r="I2" s="39"/>
      <c r="J2" s="39"/>
      <c r="K2" s="39"/>
    </row>
    <row r="3" spans="1:11">
      <c r="A3" s="5"/>
      <c r="B3" s="40" t="s">
        <v>2347</v>
      </c>
      <c r="C3" s="40"/>
      <c r="D3" s="51" t="s">
        <v>2348</v>
      </c>
      <c r="E3" s="51"/>
      <c r="F3" s="52" t="s">
        <v>2349</v>
      </c>
      <c r="G3" s="52"/>
      <c r="H3" s="53" t="s">
        <v>2350</v>
      </c>
      <c r="I3" s="53"/>
      <c r="J3" s="54"/>
      <c r="K3" s="54"/>
    </row>
    <row r="4" spans="1:11">
      <c r="A4" s="1" t="s">
        <v>4</v>
      </c>
      <c r="B4" s="2">
        <v>7561</v>
      </c>
      <c r="C4" s="2"/>
      <c r="D4" s="18">
        <v>7177</v>
      </c>
      <c r="E4" s="18"/>
      <c r="F4" s="28">
        <v>7196</v>
      </c>
      <c r="G4" s="28"/>
      <c r="H4" s="24">
        <v>7314</v>
      </c>
      <c r="I4" s="24"/>
      <c r="J4" s="2"/>
      <c r="K4" s="2"/>
    </row>
    <row r="5" spans="1:11">
      <c r="A5" s="1" t="s">
        <v>2081</v>
      </c>
      <c r="B5" s="2">
        <v>8118</v>
      </c>
      <c r="C5" s="2"/>
      <c r="D5" s="18">
        <v>7177</v>
      </c>
      <c r="E5" s="18"/>
      <c r="F5" s="28">
        <v>7196</v>
      </c>
      <c r="G5" s="28"/>
      <c r="H5" s="24">
        <v>7316</v>
      </c>
      <c r="I5" s="24"/>
      <c r="J5" s="2"/>
      <c r="K5" s="2"/>
    </row>
    <row r="6" spans="1:11">
      <c r="A6" s="1" t="s">
        <v>5</v>
      </c>
      <c r="B6" s="2">
        <v>42733</v>
      </c>
      <c r="C6" s="2"/>
      <c r="D6" s="18">
        <v>41568</v>
      </c>
      <c r="E6" s="18"/>
      <c r="F6" s="28">
        <v>41605</v>
      </c>
      <c r="G6" s="28"/>
      <c r="H6" s="24">
        <v>41974</v>
      </c>
      <c r="I6" s="24"/>
      <c r="J6" s="2"/>
      <c r="K6" s="2"/>
    </row>
    <row r="7" spans="1:11">
      <c r="A7" s="1" t="s">
        <v>6</v>
      </c>
      <c r="B7" s="2">
        <v>34740</v>
      </c>
      <c r="C7" s="2"/>
      <c r="D7" s="18">
        <v>34391</v>
      </c>
      <c r="E7" s="18"/>
      <c r="F7" s="28">
        <v>34409</v>
      </c>
      <c r="G7" s="28"/>
      <c r="H7" s="24">
        <v>34657</v>
      </c>
      <c r="I7" s="24"/>
      <c r="J7" s="2"/>
      <c r="K7" s="2"/>
    </row>
    <row r="8" spans="1:11">
      <c r="A8" s="1"/>
      <c r="B8" s="2"/>
      <c r="C8" s="2"/>
      <c r="D8" s="18"/>
      <c r="E8" s="18"/>
      <c r="F8" s="28"/>
      <c r="G8" s="28"/>
      <c r="H8" s="24"/>
      <c r="I8" s="24"/>
      <c r="J8" s="2"/>
      <c r="K8" s="2"/>
    </row>
    <row r="9" spans="1:11">
      <c r="A9" s="1" t="s">
        <v>7</v>
      </c>
      <c r="B9" s="2" t="s">
        <v>2021</v>
      </c>
      <c r="C9" s="2" t="s">
        <v>1388</v>
      </c>
      <c r="D9" s="18" t="s">
        <v>2231</v>
      </c>
      <c r="E9" s="18" t="s">
        <v>1376</v>
      </c>
      <c r="F9" s="28" t="s">
        <v>2379</v>
      </c>
      <c r="G9" s="36" t="s">
        <v>1376</v>
      </c>
      <c r="H9" s="24" t="s">
        <v>2380</v>
      </c>
      <c r="I9" s="25" t="s">
        <v>1623</v>
      </c>
      <c r="J9" s="2"/>
      <c r="K9" s="2"/>
    </row>
    <row r="10" spans="1:11">
      <c r="A10" s="1" t="s">
        <v>14</v>
      </c>
      <c r="B10" s="2" t="s">
        <v>2025</v>
      </c>
      <c r="C10" s="2" t="s">
        <v>1766</v>
      </c>
      <c r="D10" s="18" t="s">
        <v>2240</v>
      </c>
      <c r="E10" s="18" t="s">
        <v>107</v>
      </c>
      <c r="F10" s="28" t="s">
        <v>2381</v>
      </c>
      <c r="G10" s="36" t="s">
        <v>1191</v>
      </c>
      <c r="H10" s="24" t="s">
        <v>2382</v>
      </c>
      <c r="I10" s="25" t="s">
        <v>1846</v>
      </c>
      <c r="J10" s="2"/>
      <c r="K10" s="2"/>
    </row>
    <row r="11" spans="1:11">
      <c r="A11" s="1" t="s">
        <v>21</v>
      </c>
      <c r="B11" s="2" t="s">
        <v>2029</v>
      </c>
      <c r="C11" s="2" t="s">
        <v>271</v>
      </c>
      <c r="D11" s="18" t="s">
        <v>2249</v>
      </c>
      <c r="E11" s="18" t="s">
        <v>276</v>
      </c>
      <c r="F11" s="28" t="s">
        <v>2383</v>
      </c>
      <c r="G11" s="36" t="s">
        <v>276</v>
      </c>
      <c r="H11" s="24" t="s">
        <v>2384</v>
      </c>
      <c r="I11" s="25" t="s">
        <v>1122</v>
      </c>
      <c r="J11" s="2"/>
      <c r="K11" s="2"/>
    </row>
    <row r="12" spans="1:11">
      <c r="A12" s="1" t="s">
        <v>28</v>
      </c>
      <c r="B12" s="2" t="s">
        <v>2033</v>
      </c>
      <c r="C12" s="2" t="s">
        <v>216</v>
      </c>
      <c r="D12" s="18" t="s">
        <v>2256</v>
      </c>
      <c r="E12" s="18" t="s">
        <v>18</v>
      </c>
      <c r="F12" s="28" t="s">
        <v>2385</v>
      </c>
      <c r="G12" s="36" t="s">
        <v>18</v>
      </c>
      <c r="H12" s="24" t="s">
        <v>2386</v>
      </c>
      <c r="I12" s="25" t="s">
        <v>216</v>
      </c>
      <c r="J12" s="2"/>
      <c r="K12" s="2"/>
    </row>
    <row r="13" spans="1:11">
      <c r="A13" s="1" t="s">
        <v>34</v>
      </c>
      <c r="B13" s="2" t="s">
        <v>2037</v>
      </c>
      <c r="C13" s="2" t="s">
        <v>515</v>
      </c>
      <c r="D13" s="18" t="s">
        <v>2263</v>
      </c>
      <c r="E13" s="18" t="s">
        <v>20</v>
      </c>
      <c r="F13" s="28" t="s">
        <v>2387</v>
      </c>
      <c r="G13" s="36" t="s">
        <v>18</v>
      </c>
      <c r="H13" s="24" t="s">
        <v>2388</v>
      </c>
      <c r="I13" s="25" t="s">
        <v>23</v>
      </c>
      <c r="J13" s="2"/>
      <c r="K13" s="2"/>
    </row>
    <row r="14" spans="1:11">
      <c r="A14" s="1" t="s">
        <v>40</v>
      </c>
      <c r="B14" s="2" t="s">
        <v>2041</v>
      </c>
      <c r="C14" s="2" t="s">
        <v>451</v>
      </c>
      <c r="D14" s="18" t="s">
        <v>2270</v>
      </c>
      <c r="E14" s="18" t="s">
        <v>149</v>
      </c>
      <c r="F14" s="28" t="s">
        <v>1413</v>
      </c>
      <c r="G14" s="36" t="s">
        <v>302</v>
      </c>
      <c r="H14" s="24" t="s">
        <v>2389</v>
      </c>
      <c r="I14" s="25" t="s">
        <v>39</v>
      </c>
      <c r="J14" s="2"/>
      <c r="K14" s="2"/>
    </row>
    <row r="15" spans="1:11">
      <c r="A15" s="1"/>
      <c r="B15" s="2"/>
      <c r="C15" s="2"/>
      <c r="D15" s="18"/>
      <c r="E15" s="18"/>
      <c r="F15" s="28"/>
      <c r="G15" s="28"/>
      <c r="H15" s="24"/>
      <c r="I15" s="24"/>
      <c r="J15" s="2"/>
      <c r="K15" s="2"/>
    </row>
    <row r="16" spans="1:11">
      <c r="A16" s="1" t="s">
        <v>47</v>
      </c>
      <c r="B16" s="2">
        <v>5428</v>
      </c>
      <c r="C16" s="2"/>
      <c r="D16" s="18">
        <v>5381</v>
      </c>
      <c r="E16" s="18"/>
      <c r="F16" s="28">
        <v>5388</v>
      </c>
      <c r="G16" s="28"/>
      <c r="H16" s="24">
        <v>5425</v>
      </c>
      <c r="I16" s="24"/>
      <c r="J16" s="2"/>
      <c r="K16" s="2"/>
    </row>
    <row r="17" spans="1:11">
      <c r="A17" s="1" t="s">
        <v>48</v>
      </c>
      <c r="B17" s="2">
        <f xml:space="preserve"> 5428/7561</f>
        <v>0.7178944584049729</v>
      </c>
      <c r="C17" s="10" t="s">
        <v>2046</v>
      </c>
      <c r="D17" s="18">
        <f xml:space="preserve"> 5381/7177</f>
        <v>0.74975616552877244</v>
      </c>
      <c r="E17" s="18" t="s">
        <v>2279</v>
      </c>
      <c r="F17" s="28">
        <f xml:space="preserve"> 5388/7196</f>
        <v>0.74874930516953864</v>
      </c>
      <c r="G17" s="36" t="s">
        <v>1439</v>
      </c>
      <c r="H17" s="24" t="s">
        <v>2390</v>
      </c>
      <c r="I17" s="25" t="s">
        <v>2052</v>
      </c>
      <c r="J17" s="2"/>
      <c r="K17" s="10"/>
    </row>
    <row r="18" spans="1:11">
      <c r="A18" s="1" t="s">
        <v>1215</v>
      </c>
      <c r="B18" s="2">
        <f xml:space="preserve"> 5428/6639</f>
        <v>0.81759301099563186</v>
      </c>
      <c r="C18" s="10" t="s">
        <v>2050</v>
      </c>
      <c r="D18" s="18">
        <f xml:space="preserve"> 5381/6639</f>
        <v>0.81051363157101974</v>
      </c>
      <c r="E18" s="18" t="s">
        <v>2292</v>
      </c>
      <c r="F18" s="28">
        <f xml:space="preserve"> 5388/6639</f>
        <v>0.81156800723000455</v>
      </c>
      <c r="G18" s="36" t="s">
        <v>2151</v>
      </c>
      <c r="H18" s="24" t="s">
        <v>2391</v>
      </c>
      <c r="I18" s="25" t="s">
        <v>2159</v>
      </c>
      <c r="J18" s="2"/>
      <c r="K18" s="10"/>
    </row>
    <row r="19" spans="1:11">
      <c r="A19" s="1" t="s">
        <v>599</v>
      </c>
      <c r="B19" s="2" t="s">
        <v>2055</v>
      </c>
      <c r="C19" s="10" t="s">
        <v>2056</v>
      </c>
      <c r="D19" s="18" t="s">
        <v>2302</v>
      </c>
      <c r="E19" s="18" t="s">
        <v>2303</v>
      </c>
      <c r="F19" s="28" t="s">
        <v>2392</v>
      </c>
      <c r="G19" s="36" t="s">
        <v>2303</v>
      </c>
      <c r="H19" s="24" t="s">
        <v>2393</v>
      </c>
      <c r="I19" s="25" t="s">
        <v>2394</v>
      </c>
      <c r="J19" s="2"/>
      <c r="K19" s="10"/>
    </row>
    <row r="20" spans="1:11">
      <c r="A20" s="1"/>
      <c r="B20" s="2">
        <f>B17*B18</f>
        <v>0.58694549182440015</v>
      </c>
      <c r="C20" s="2"/>
      <c r="D20" s="2">
        <f>D17*D18</f>
        <v>0.60768759251548798</v>
      </c>
      <c r="E20" s="18"/>
      <c r="F20" s="2">
        <f>F17*F18</f>
        <v>0.607660981511293</v>
      </c>
      <c r="G20" s="28"/>
      <c r="H20" s="24"/>
      <c r="I20" s="24"/>
      <c r="J20" s="2"/>
      <c r="K20" s="2"/>
    </row>
    <row r="21" spans="1:11">
      <c r="A21" s="1"/>
      <c r="B21" s="2"/>
      <c r="C21" s="2"/>
      <c r="D21" s="18"/>
      <c r="E21" s="18"/>
      <c r="F21" s="28"/>
      <c r="G21" s="28"/>
      <c r="H21" s="24"/>
      <c r="I21" s="24"/>
      <c r="J21" s="2"/>
      <c r="K21" s="2"/>
    </row>
    <row r="22" spans="1:11">
      <c r="A22" s="1" t="s">
        <v>69</v>
      </c>
      <c r="B22" s="2"/>
      <c r="C22" s="2"/>
      <c r="D22" s="18"/>
      <c r="E22" s="18"/>
      <c r="F22" s="28"/>
      <c r="G22" s="28"/>
      <c r="H22" s="24"/>
      <c r="I22" s="24"/>
      <c r="J22" s="2"/>
      <c r="K22" s="2"/>
    </row>
    <row r="23" spans="1:11">
      <c r="A23" s="1"/>
      <c r="B23" s="2"/>
      <c r="C23" s="2"/>
      <c r="D23" s="18"/>
      <c r="E23" s="18"/>
      <c r="F23" s="28"/>
      <c r="G23" s="28"/>
      <c r="H23" s="24"/>
      <c r="I23" s="24"/>
      <c r="J23" s="2"/>
      <c r="K23" s="2"/>
    </row>
    <row r="24" spans="1:11">
      <c r="A24" s="1" t="s">
        <v>70</v>
      </c>
      <c r="B24" s="2">
        <v>6799</v>
      </c>
      <c r="C24" s="2"/>
      <c r="D24" s="18">
        <v>6750</v>
      </c>
      <c r="E24" s="18"/>
      <c r="F24" s="28">
        <v>6759</v>
      </c>
      <c r="G24" s="28"/>
      <c r="H24" s="24">
        <v>6828</v>
      </c>
      <c r="I24" s="24"/>
      <c r="J24" s="2"/>
      <c r="K24" s="2"/>
    </row>
    <row r="25" spans="1:11">
      <c r="A25" s="1" t="s">
        <v>71</v>
      </c>
      <c r="B25" s="2">
        <v>6523</v>
      </c>
      <c r="C25" s="2"/>
      <c r="D25" s="18">
        <v>6507</v>
      </c>
      <c r="E25" s="18"/>
      <c r="F25" s="28">
        <v>6516</v>
      </c>
      <c r="G25" s="28"/>
      <c r="H25" s="24">
        <v>6583</v>
      </c>
      <c r="I25" s="24"/>
      <c r="J25" s="2"/>
      <c r="K25" s="2"/>
    </row>
    <row r="26" spans="1:11">
      <c r="A26" s="1" t="s">
        <v>72</v>
      </c>
      <c r="B26" s="2">
        <v>41437</v>
      </c>
      <c r="C26" s="2"/>
      <c r="D26" s="18">
        <v>40702</v>
      </c>
      <c r="E26" s="18"/>
      <c r="F26" s="28">
        <v>40724</v>
      </c>
      <c r="G26" s="28"/>
      <c r="H26" s="24">
        <v>40982</v>
      </c>
      <c r="I26" s="24"/>
      <c r="J26" s="2"/>
      <c r="K26" s="2"/>
    </row>
    <row r="27" spans="1:11">
      <c r="A27" s="1" t="s">
        <v>73</v>
      </c>
      <c r="B27" s="2">
        <v>34217</v>
      </c>
      <c r="C27" s="2"/>
      <c r="D27" s="18">
        <v>33952</v>
      </c>
      <c r="E27" s="18"/>
      <c r="F27" s="28">
        <v>33965</v>
      </c>
      <c r="G27" s="28"/>
      <c r="H27" s="24">
        <v>34154</v>
      </c>
      <c r="I27" s="24"/>
      <c r="J27" s="2"/>
      <c r="K27" s="2"/>
    </row>
    <row r="28" spans="1:11">
      <c r="A28" s="1" t="s">
        <v>74</v>
      </c>
      <c r="B28" s="2">
        <v>42256</v>
      </c>
      <c r="C28" s="2"/>
      <c r="D28" s="18">
        <v>42210</v>
      </c>
      <c r="E28" s="18"/>
      <c r="F28" s="28">
        <v>42240</v>
      </c>
      <c r="G28" s="28"/>
      <c r="H28" s="24">
        <v>42530</v>
      </c>
      <c r="I28" s="24"/>
      <c r="J28" s="2"/>
      <c r="K28" s="2"/>
    </row>
    <row r="29" spans="1:11">
      <c r="A29" s="1" t="s">
        <v>75</v>
      </c>
      <c r="B29" s="2">
        <v>35642</v>
      </c>
      <c r="C29" s="2"/>
      <c r="D29" s="18">
        <v>35613</v>
      </c>
      <c r="E29" s="18"/>
      <c r="F29" s="28">
        <v>35633</v>
      </c>
      <c r="G29" s="28"/>
      <c r="H29" s="24">
        <v>35855</v>
      </c>
      <c r="I29" s="24"/>
      <c r="J29" s="2"/>
      <c r="K29" s="2"/>
    </row>
    <row r="30" spans="1:11">
      <c r="A30" s="1"/>
      <c r="B30" s="2"/>
      <c r="C30" s="2"/>
      <c r="D30" s="18"/>
      <c r="E30" s="18"/>
      <c r="F30" s="28"/>
      <c r="G30" s="28"/>
      <c r="H30" s="24"/>
      <c r="I30" s="24"/>
      <c r="J30" s="2"/>
      <c r="K30" s="2"/>
    </row>
    <row r="31" spans="1:11">
      <c r="A31" s="1" t="s">
        <v>7</v>
      </c>
      <c r="B31" s="2" t="s">
        <v>2060</v>
      </c>
      <c r="C31" s="2" t="s">
        <v>1841</v>
      </c>
      <c r="D31" s="18" t="s">
        <v>2313</v>
      </c>
      <c r="E31" s="18" t="s">
        <v>1952</v>
      </c>
      <c r="F31" s="28" t="s">
        <v>2395</v>
      </c>
      <c r="G31" s="36" t="s">
        <v>1952</v>
      </c>
      <c r="H31" s="24" t="s">
        <v>2396</v>
      </c>
      <c r="I31" s="25" t="s">
        <v>1764</v>
      </c>
      <c r="J31" s="2"/>
      <c r="K31" s="2"/>
    </row>
    <row r="32" spans="1:11">
      <c r="A32" s="1" t="s">
        <v>14</v>
      </c>
      <c r="B32" s="2" t="s">
        <v>2064</v>
      </c>
      <c r="C32" s="2" t="s">
        <v>84</v>
      </c>
      <c r="D32" s="18" t="s">
        <v>2322</v>
      </c>
      <c r="E32" s="18" t="s">
        <v>77</v>
      </c>
      <c r="F32" s="28" t="s">
        <v>2397</v>
      </c>
      <c r="G32" s="36" t="s">
        <v>77</v>
      </c>
      <c r="H32" s="24" t="s">
        <v>2398</v>
      </c>
      <c r="I32" s="25" t="s">
        <v>84</v>
      </c>
      <c r="J32" s="2"/>
      <c r="K32" s="2"/>
    </row>
    <row r="33" spans="1:11">
      <c r="A33" s="1" t="s">
        <v>21</v>
      </c>
      <c r="B33" s="2" t="s">
        <v>2068</v>
      </c>
      <c r="C33" s="2" t="s">
        <v>44</v>
      </c>
      <c r="D33" s="18" t="s">
        <v>2331</v>
      </c>
      <c r="E33" s="18" t="s">
        <v>532</v>
      </c>
      <c r="F33" s="28" t="s">
        <v>2399</v>
      </c>
      <c r="G33" s="36" t="s">
        <v>121</v>
      </c>
      <c r="H33" s="24" t="s">
        <v>2400</v>
      </c>
      <c r="I33" s="25" t="s">
        <v>121</v>
      </c>
      <c r="J33" s="2"/>
      <c r="K33" s="2"/>
    </row>
    <row r="34" spans="1:11">
      <c r="A34" s="1" t="s">
        <v>28</v>
      </c>
      <c r="B34" s="2" t="s">
        <v>2072</v>
      </c>
      <c r="C34" s="2" t="s">
        <v>94</v>
      </c>
      <c r="D34" s="18" t="s">
        <v>2340</v>
      </c>
      <c r="E34" s="18" t="s">
        <v>94</v>
      </c>
      <c r="F34" s="28" t="s">
        <v>2401</v>
      </c>
      <c r="G34" s="36" t="s">
        <v>94</v>
      </c>
      <c r="H34" s="24" t="s">
        <v>2402</v>
      </c>
      <c r="I34" s="25" t="s">
        <v>94</v>
      </c>
      <c r="J34" s="2"/>
      <c r="K34" s="2"/>
    </row>
  </sheetData>
  <sheetProtection selectLockedCells="1" selectUnlockedCells="1"/>
  <mergeCells count="5">
    <mergeCell ref="B3:C3"/>
    <mergeCell ref="D3:E3"/>
    <mergeCell ref="F3:G3"/>
    <mergeCell ref="H3:I3"/>
    <mergeCell ref="J3:K3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3" sqref="J13"/>
    </sheetView>
  </sheetViews>
  <sheetFormatPr baseColWidth="10" defaultRowHeight="13.2"/>
  <cols>
    <col min="1" max="1" width="49.33203125" style="1" customWidth="1"/>
    <col min="2" max="2" width="9.77734375" style="4" customWidth="1"/>
    <col min="3" max="3" width="6.6640625" style="4" customWidth="1"/>
    <col min="4" max="4" width="9.77734375" style="4" customWidth="1"/>
    <col min="5" max="5" width="6.6640625" style="4" customWidth="1"/>
    <col min="6" max="6" width="9.77734375" style="4" customWidth="1"/>
    <col min="7" max="7" width="6.6640625" style="4" customWidth="1"/>
    <col min="8" max="256" width="9.77734375" style="4" customWidth="1"/>
    <col min="257" max="16384" width="11.5546875" style="4"/>
  </cols>
  <sheetData>
    <row r="1" spans="1:38">
      <c r="A1" s="3" t="s">
        <v>96</v>
      </c>
    </row>
    <row r="3" spans="1:38" s="8" customFormat="1">
      <c r="A3" s="5"/>
      <c r="B3" s="40" t="s">
        <v>1</v>
      </c>
      <c r="C3" s="40"/>
      <c r="D3" s="40" t="s">
        <v>2</v>
      </c>
      <c r="E3" s="40"/>
      <c r="F3" s="40" t="s">
        <v>3</v>
      </c>
      <c r="G3" s="40"/>
      <c r="H3" s="6"/>
      <c r="I3" s="7"/>
      <c r="J3" s="7"/>
      <c r="K3" s="7"/>
      <c r="L3" s="7"/>
      <c r="M3" s="7"/>
      <c r="N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38">
      <c r="A4" s="1" t="s">
        <v>4</v>
      </c>
      <c r="B4" s="2">
        <v>7666</v>
      </c>
      <c r="C4" s="2"/>
      <c r="D4" s="2">
        <v>6725</v>
      </c>
      <c r="E4" s="2"/>
      <c r="F4" s="2">
        <v>7083</v>
      </c>
      <c r="G4" s="2"/>
    </row>
    <row r="5" spans="1:38">
      <c r="A5" s="1" t="s">
        <v>5</v>
      </c>
      <c r="B5" s="2">
        <v>52319</v>
      </c>
      <c r="C5" s="2"/>
      <c r="D5" s="2">
        <v>35215</v>
      </c>
      <c r="E5" s="2"/>
      <c r="F5" s="2">
        <v>39473</v>
      </c>
      <c r="G5" s="2"/>
    </row>
    <row r="6" spans="1:38">
      <c r="A6" s="1" t="s">
        <v>6</v>
      </c>
      <c r="B6" s="2">
        <v>44653</v>
      </c>
      <c r="C6" s="2"/>
      <c r="D6" s="2">
        <v>28459</v>
      </c>
      <c r="E6" s="2"/>
      <c r="F6" s="2">
        <v>32243</v>
      </c>
      <c r="G6" s="2"/>
    </row>
    <row r="7" spans="1:38">
      <c r="B7" s="2"/>
      <c r="C7" s="2"/>
      <c r="D7" s="2"/>
      <c r="E7" s="2"/>
      <c r="F7" s="2"/>
      <c r="G7" s="2"/>
    </row>
    <row r="8" spans="1:38">
      <c r="A8" s="1" t="s">
        <v>7</v>
      </c>
      <c r="B8" s="2" t="s">
        <v>97</v>
      </c>
      <c r="C8" s="2" t="s">
        <v>84</v>
      </c>
      <c r="D8" s="2" t="s">
        <v>98</v>
      </c>
      <c r="E8" s="2" t="s">
        <v>99</v>
      </c>
      <c r="F8" s="2" t="s">
        <v>100</v>
      </c>
      <c r="G8" s="2" t="s">
        <v>101</v>
      </c>
    </row>
    <row r="9" spans="1:38">
      <c r="A9" s="1" t="s">
        <v>14</v>
      </c>
      <c r="B9" s="2" t="s">
        <v>102</v>
      </c>
      <c r="C9" s="2" t="s">
        <v>103</v>
      </c>
      <c r="D9" s="2" t="s">
        <v>104</v>
      </c>
      <c r="E9" s="2" t="s">
        <v>105</v>
      </c>
      <c r="F9" s="2" t="s">
        <v>106</v>
      </c>
      <c r="G9" s="2" t="s">
        <v>107</v>
      </c>
    </row>
    <row r="10" spans="1:38">
      <c r="A10" s="1" t="s">
        <v>21</v>
      </c>
      <c r="B10" s="2" t="s">
        <v>108</v>
      </c>
      <c r="C10" s="2" t="s">
        <v>84</v>
      </c>
      <c r="D10" s="2" t="s">
        <v>109</v>
      </c>
      <c r="E10" s="2" t="s">
        <v>25</v>
      </c>
      <c r="F10" s="2" t="s">
        <v>110</v>
      </c>
      <c r="G10" s="2" t="s">
        <v>111</v>
      </c>
    </row>
    <row r="11" spans="1:38">
      <c r="A11" s="1" t="s">
        <v>28</v>
      </c>
      <c r="B11" s="2" t="s">
        <v>112</v>
      </c>
      <c r="C11" s="2" t="s">
        <v>113</v>
      </c>
      <c r="D11" s="2" t="s">
        <v>114</v>
      </c>
      <c r="E11" s="2" t="s">
        <v>115</v>
      </c>
      <c r="F11" s="2" t="s">
        <v>116</v>
      </c>
      <c r="G11" s="2" t="s">
        <v>115</v>
      </c>
    </row>
    <row r="12" spans="1:38">
      <c r="A12" s="1" t="s">
        <v>34</v>
      </c>
      <c r="B12" s="2" t="s">
        <v>117</v>
      </c>
      <c r="C12" s="2" t="s">
        <v>23</v>
      </c>
      <c r="D12" s="2" t="s">
        <v>118</v>
      </c>
      <c r="E12" s="2" t="s">
        <v>119</v>
      </c>
      <c r="F12" s="2" t="s">
        <v>120</v>
      </c>
      <c r="G12" s="2" t="s">
        <v>121</v>
      </c>
    </row>
    <row r="13" spans="1:38">
      <c r="A13" s="1" t="s">
        <v>40</v>
      </c>
      <c r="B13" s="2" t="s">
        <v>122</v>
      </c>
      <c r="C13" s="2" t="s">
        <v>123</v>
      </c>
      <c r="D13" s="2" t="s">
        <v>124</v>
      </c>
      <c r="E13" s="2" t="s">
        <v>125</v>
      </c>
      <c r="F13" s="2" t="s">
        <v>126</v>
      </c>
      <c r="G13" s="2" t="s">
        <v>127</v>
      </c>
    </row>
    <row r="14" spans="1:38">
      <c r="B14" s="2"/>
      <c r="C14" s="2"/>
      <c r="D14" s="2"/>
      <c r="E14" s="2"/>
      <c r="F14" s="2"/>
      <c r="G14" s="2"/>
    </row>
    <row r="15" spans="1:38">
      <c r="A15" s="1" t="s">
        <v>47</v>
      </c>
      <c r="B15" s="2">
        <v>3760</v>
      </c>
      <c r="C15" s="2"/>
      <c r="D15" s="2">
        <v>3512</v>
      </c>
      <c r="E15" s="2"/>
      <c r="F15" s="2">
        <v>4616</v>
      </c>
      <c r="G15" s="2"/>
    </row>
    <row r="16" spans="1:38">
      <c r="A16" s="1" t="s">
        <v>48</v>
      </c>
      <c r="B16" s="4" t="s">
        <v>128</v>
      </c>
      <c r="C16" s="9" t="s">
        <v>129</v>
      </c>
      <c r="D16" s="4" t="s">
        <v>130</v>
      </c>
      <c r="E16" s="9" t="s">
        <v>131</v>
      </c>
      <c r="F16" s="4" t="s">
        <v>132</v>
      </c>
      <c r="G16" s="9" t="s">
        <v>57</v>
      </c>
    </row>
    <row r="17" spans="1:7">
      <c r="A17" s="1" t="s">
        <v>55</v>
      </c>
      <c r="B17" s="2" t="s">
        <v>133</v>
      </c>
      <c r="C17" s="2" t="s">
        <v>134</v>
      </c>
      <c r="D17" s="2" t="s">
        <v>135</v>
      </c>
      <c r="E17" s="2" t="s">
        <v>136</v>
      </c>
      <c r="F17" s="2" t="s">
        <v>137</v>
      </c>
      <c r="G17" s="2" t="s">
        <v>138</v>
      </c>
    </row>
    <row r="18" spans="1:7">
      <c r="A18" s="1" t="s">
        <v>62</v>
      </c>
      <c r="B18" s="2" t="s">
        <v>139</v>
      </c>
      <c r="C18" s="2" t="s">
        <v>140</v>
      </c>
      <c r="D18" s="2" t="s">
        <v>141</v>
      </c>
      <c r="E18" s="2" t="s">
        <v>142</v>
      </c>
      <c r="F18" s="2" t="s">
        <v>143</v>
      </c>
      <c r="G18" s="10" t="s">
        <v>144</v>
      </c>
    </row>
    <row r="19" spans="1:7">
      <c r="B19" s="2"/>
      <c r="C19" s="2"/>
      <c r="D19" s="2"/>
      <c r="E19" s="2"/>
      <c r="F19" s="2"/>
      <c r="G19" s="2"/>
    </row>
    <row r="20" spans="1:7">
      <c r="B20" s="2"/>
      <c r="C20" s="2"/>
      <c r="D20" s="2"/>
      <c r="E20" s="2"/>
      <c r="F20" s="2"/>
      <c r="G20" s="2"/>
    </row>
    <row r="21" spans="1:7">
      <c r="A21" s="1" t="s">
        <v>69</v>
      </c>
      <c r="B21" s="2"/>
      <c r="C21" s="2"/>
      <c r="D21" s="2"/>
      <c r="E21" s="2"/>
      <c r="F21" s="2"/>
      <c r="G21" s="2"/>
    </row>
    <row r="22" spans="1:7">
      <c r="B22" s="2">
        <v>6601</v>
      </c>
      <c r="C22" s="2"/>
      <c r="D22" s="2">
        <v>6352</v>
      </c>
      <c r="E22" s="2"/>
      <c r="F22" s="2">
        <v>6597</v>
      </c>
      <c r="G22" s="2"/>
    </row>
    <row r="23" spans="1:7">
      <c r="A23" s="1" t="s">
        <v>70</v>
      </c>
      <c r="B23" s="2">
        <v>6585</v>
      </c>
      <c r="C23" s="2"/>
      <c r="D23" s="2">
        <v>6014</v>
      </c>
      <c r="E23" s="2"/>
      <c r="F23" s="2">
        <v>6321</v>
      </c>
      <c r="G23" s="2"/>
    </row>
    <row r="24" spans="1:7">
      <c r="A24" s="1" t="s">
        <v>71</v>
      </c>
      <c r="B24" s="2">
        <v>48396</v>
      </c>
      <c r="C24" s="2"/>
      <c r="D24" s="2">
        <v>34621</v>
      </c>
      <c r="E24" s="2"/>
      <c r="F24" s="2">
        <v>38634</v>
      </c>
      <c r="G24" s="2"/>
    </row>
    <row r="25" spans="1:7">
      <c r="A25" s="1" t="s">
        <v>72</v>
      </c>
      <c r="B25" s="2">
        <v>41795</v>
      </c>
      <c r="C25" s="2"/>
      <c r="D25" s="2">
        <v>28238</v>
      </c>
      <c r="E25" s="2"/>
      <c r="F25" s="2">
        <v>31891</v>
      </c>
      <c r="G25" s="2"/>
    </row>
    <row r="26" spans="1:7">
      <c r="A26" s="1" t="s">
        <v>73</v>
      </c>
      <c r="B26" s="2">
        <v>42554</v>
      </c>
      <c r="C26" s="2"/>
      <c r="D26" s="2">
        <v>39376</v>
      </c>
      <c r="E26" s="2"/>
      <c r="F26" s="2">
        <v>41179</v>
      </c>
      <c r="G26" s="2"/>
    </row>
    <row r="27" spans="1:7">
      <c r="A27" s="1" t="s">
        <v>74</v>
      </c>
      <c r="B27" s="2">
        <v>35878</v>
      </c>
      <c r="C27" s="2"/>
      <c r="D27" s="2">
        <v>33278</v>
      </c>
      <c r="E27" s="2"/>
      <c r="F27" s="2">
        <v>34771</v>
      </c>
      <c r="G27" s="2"/>
    </row>
    <row r="28" spans="1:7">
      <c r="A28" s="1" t="s">
        <v>75</v>
      </c>
      <c r="B28" s="2"/>
      <c r="C28" s="2"/>
      <c r="D28" s="2"/>
      <c r="E28" s="2"/>
      <c r="F28" s="2"/>
      <c r="G28" s="2"/>
    </row>
    <row r="29" spans="1:7">
      <c r="B29" s="2" t="s">
        <v>145</v>
      </c>
      <c r="C29" s="2" t="s">
        <v>146</v>
      </c>
      <c r="D29" s="2" t="s">
        <v>147</v>
      </c>
      <c r="E29" s="2" t="s">
        <v>37</v>
      </c>
      <c r="F29" s="2" t="s">
        <v>148</v>
      </c>
      <c r="G29" s="2" t="s">
        <v>149</v>
      </c>
    </row>
    <row r="30" spans="1:7">
      <c r="A30" s="1" t="s">
        <v>7</v>
      </c>
      <c r="B30" s="2" t="s">
        <v>150</v>
      </c>
      <c r="C30" s="2" t="s">
        <v>151</v>
      </c>
      <c r="D30" s="2" t="s">
        <v>152</v>
      </c>
      <c r="E30" s="2" t="s">
        <v>94</v>
      </c>
      <c r="F30" s="2" t="s">
        <v>153</v>
      </c>
      <c r="G30" s="2" t="s">
        <v>77</v>
      </c>
    </row>
    <row r="31" spans="1:7">
      <c r="A31" s="1" t="s">
        <v>14</v>
      </c>
      <c r="B31" s="2" t="s">
        <v>154</v>
      </c>
      <c r="C31" s="2" t="s">
        <v>146</v>
      </c>
      <c r="D31" s="2" t="s">
        <v>155</v>
      </c>
      <c r="E31" s="2" t="s">
        <v>156</v>
      </c>
      <c r="F31" s="2" t="s">
        <v>157</v>
      </c>
      <c r="G31" s="2" t="s">
        <v>158</v>
      </c>
    </row>
    <row r="32" spans="1:7">
      <c r="A32" s="1" t="s">
        <v>21</v>
      </c>
      <c r="B32" s="2" t="s">
        <v>159</v>
      </c>
      <c r="C32" s="2" t="s">
        <v>160</v>
      </c>
      <c r="D32" s="2" t="s">
        <v>161</v>
      </c>
      <c r="E32" s="2" t="s">
        <v>23</v>
      </c>
      <c r="F32" s="2" t="s">
        <v>162</v>
      </c>
      <c r="G32" s="2" t="s">
        <v>84</v>
      </c>
    </row>
    <row r="33" spans="1:1">
      <c r="A33" s="1" t="s">
        <v>28</v>
      </c>
    </row>
  </sheetData>
  <sheetProtection selectLockedCells="1" selectUnlockedCells="1"/>
  <mergeCells count="3">
    <mergeCell ref="B3:C3"/>
    <mergeCell ref="D3:E3"/>
    <mergeCell ref="F3:G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"/>
  <sheetViews>
    <sheetView zoomScale="120" zoomScaleNormal="120" workbookViewId="0">
      <pane xSplit="1" ySplit="3" topLeftCell="B4" activePane="bottomRight" state="frozen"/>
      <selection pane="topRight" activeCell="Y1" sqref="Y1"/>
      <selection pane="bottomLeft" activeCell="A4" sqref="A4"/>
      <selection pane="bottomRight" activeCell="AH4" sqref="B4:AH4"/>
    </sheetView>
  </sheetViews>
  <sheetFormatPr baseColWidth="10" defaultRowHeight="13.2"/>
  <cols>
    <col min="1" max="1" width="49.33203125" style="4" customWidth="1"/>
    <col min="2" max="2" width="9.77734375" style="4" customWidth="1"/>
    <col min="3" max="3" width="6.6640625" style="4" customWidth="1"/>
    <col min="4" max="4" width="9.77734375" style="4" customWidth="1"/>
    <col min="5" max="5" width="6.6640625" style="4" customWidth="1"/>
    <col min="6" max="6" width="9.77734375" style="4" customWidth="1"/>
    <col min="7" max="7" width="7.6640625" style="4" customWidth="1"/>
    <col min="8" max="8" width="9.77734375" style="4" customWidth="1"/>
    <col min="9" max="9" width="6.6640625" style="4" customWidth="1"/>
    <col min="10" max="10" width="9.77734375" style="4" customWidth="1"/>
    <col min="11" max="11" width="7.6640625" style="4" customWidth="1"/>
    <col min="12" max="12" width="9.77734375" style="4" customWidth="1"/>
    <col min="13" max="13" width="7.6640625" style="4" customWidth="1"/>
    <col min="14" max="14" width="9.77734375" style="4" customWidth="1"/>
    <col min="15" max="15" width="7.6640625" style="4" customWidth="1"/>
    <col min="16" max="16" width="9.77734375" style="4" customWidth="1"/>
    <col min="17" max="17" width="7.6640625" style="4" customWidth="1"/>
    <col min="18" max="18" width="9.77734375" style="4" customWidth="1"/>
    <col min="19" max="19" width="7.6640625" style="4" customWidth="1"/>
    <col min="20" max="20" width="9.77734375" style="4" customWidth="1"/>
    <col min="21" max="21" width="7.6640625" style="4" customWidth="1"/>
    <col min="22" max="22" width="9.77734375" style="4" customWidth="1"/>
    <col min="23" max="23" width="7.6640625" style="4" customWidth="1"/>
    <col min="24" max="24" width="9.77734375" style="4" customWidth="1"/>
    <col min="25" max="25" width="7.6640625" style="4" customWidth="1"/>
    <col min="26" max="26" width="9.77734375" style="4" customWidth="1"/>
    <col min="27" max="27" width="7.6640625" style="4" customWidth="1"/>
    <col min="28" max="28" width="9.77734375" style="4" customWidth="1"/>
    <col min="29" max="29" width="7.6640625" style="4" customWidth="1"/>
    <col min="30" max="30" width="9.77734375" style="4" customWidth="1"/>
    <col min="31" max="31" width="7.6640625" style="4" customWidth="1"/>
    <col min="32" max="32" width="9.77734375" style="4" customWidth="1"/>
    <col min="33" max="33" width="7.6640625" style="4" customWidth="1"/>
    <col min="34" max="34" width="9.77734375" style="4" customWidth="1"/>
    <col min="35" max="35" width="7.6640625" style="4" customWidth="1"/>
    <col min="36" max="256" width="9.77734375" style="4" customWidth="1"/>
    <col min="257" max="16384" width="11.5546875" style="4"/>
  </cols>
  <sheetData>
    <row r="1" spans="1:35" s="2" customFormat="1">
      <c r="A1" s="42" t="s">
        <v>163</v>
      </c>
      <c r="B1" s="42"/>
      <c r="C1" s="42"/>
      <c r="D1" s="42"/>
      <c r="E1" s="42"/>
    </row>
    <row r="3" spans="1:35" s="7" customFormat="1">
      <c r="A3" s="11"/>
      <c r="B3" s="41" t="s">
        <v>164</v>
      </c>
      <c r="C3" s="41"/>
      <c r="D3" s="41" t="s">
        <v>165</v>
      </c>
      <c r="E3" s="41"/>
      <c r="F3" s="41" t="s">
        <v>166</v>
      </c>
      <c r="G3" s="41"/>
      <c r="H3" s="41" t="s">
        <v>167</v>
      </c>
      <c r="I3" s="41"/>
      <c r="J3" s="41" t="s">
        <v>168</v>
      </c>
      <c r="K3" s="41"/>
      <c r="L3" s="41" t="s">
        <v>169</v>
      </c>
      <c r="M3" s="41"/>
      <c r="N3" s="41" t="s">
        <v>170</v>
      </c>
      <c r="O3" s="41"/>
      <c r="P3" s="41" t="s">
        <v>171</v>
      </c>
      <c r="Q3" s="41"/>
      <c r="R3" s="41" t="s">
        <v>172</v>
      </c>
      <c r="S3" s="41"/>
      <c r="T3" s="41" t="s">
        <v>173</v>
      </c>
      <c r="U3" s="41"/>
      <c r="V3" s="41" t="s">
        <v>174</v>
      </c>
      <c r="W3" s="41"/>
      <c r="X3" s="41" t="s">
        <v>175</v>
      </c>
      <c r="Y3" s="41"/>
      <c r="Z3" s="41" t="s">
        <v>176</v>
      </c>
      <c r="AA3" s="41"/>
      <c r="AB3" s="41" t="s">
        <v>177</v>
      </c>
      <c r="AC3" s="41"/>
      <c r="AD3" s="41" t="s">
        <v>178</v>
      </c>
      <c r="AE3" s="41"/>
      <c r="AF3" s="41" t="s">
        <v>179</v>
      </c>
      <c r="AG3" s="41"/>
      <c r="AH3" s="41" t="s">
        <v>180</v>
      </c>
      <c r="AI3" s="41"/>
    </row>
    <row r="4" spans="1:35">
      <c r="A4" s="1" t="s">
        <v>4</v>
      </c>
      <c r="B4" s="12">
        <v>7547</v>
      </c>
      <c r="C4" s="12"/>
      <c r="D4" s="12">
        <v>7565</v>
      </c>
      <c r="E4" s="12"/>
      <c r="F4" s="2">
        <v>7537</v>
      </c>
      <c r="G4" s="2"/>
      <c r="H4" s="2">
        <v>7064</v>
      </c>
      <c r="I4" s="2"/>
      <c r="J4" s="2">
        <v>7634</v>
      </c>
      <c r="K4" s="2"/>
      <c r="L4" s="2">
        <v>7418</v>
      </c>
      <c r="M4" s="2"/>
      <c r="N4" s="2">
        <v>7195</v>
      </c>
      <c r="O4" s="2"/>
      <c r="P4" s="2">
        <v>7187</v>
      </c>
      <c r="Q4" s="2"/>
      <c r="R4" s="2">
        <v>7201</v>
      </c>
      <c r="S4" s="2"/>
      <c r="T4" s="2">
        <v>7207</v>
      </c>
      <c r="U4" s="2"/>
      <c r="V4" s="2">
        <v>7112</v>
      </c>
      <c r="W4" s="2"/>
      <c r="X4" s="2">
        <v>7183</v>
      </c>
      <c r="Y4" s="2"/>
      <c r="Z4" s="2">
        <v>7196</v>
      </c>
      <c r="AA4" s="2"/>
      <c r="AB4" s="2">
        <v>7195</v>
      </c>
      <c r="AC4" s="2"/>
      <c r="AD4" s="2">
        <v>7209</v>
      </c>
      <c r="AE4" s="2"/>
      <c r="AF4" s="2">
        <v>7252</v>
      </c>
      <c r="AG4" s="2"/>
      <c r="AH4" s="2">
        <v>7199</v>
      </c>
      <c r="AI4" s="2"/>
    </row>
    <row r="5" spans="1:35">
      <c r="A5" s="1" t="s">
        <v>5</v>
      </c>
      <c r="B5" s="12">
        <v>38393</v>
      </c>
      <c r="C5" s="12"/>
      <c r="D5" s="12">
        <v>38315</v>
      </c>
      <c r="E5" s="12"/>
      <c r="F5" s="2">
        <v>38761</v>
      </c>
      <c r="G5" s="2"/>
      <c r="H5" s="2">
        <v>38921</v>
      </c>
      <c r="I5" s="2"/>
      <c r="J5" s="2">
        <v>37991</v>
      </c>
      <c r="K5" s="2"/>
      <c r="L5" s="2">
        <v>38154</v>
      </c>
      <c r="M5" s="2"/>
      <c r="N5" s="2">
        <v>39186</v>
      </c>
      <c r="O5" s="2"/>
      <c r="P5" s="2">
        <v>39084</v>
      </c>
      <c r="Q5" s="2"/>
      <c r="R5" s="2">
        <v>39259</v>
      </c>
      <c r="S5" s="2"/>
      <c r="T5" s="2">
        <v>39169</v>
      </c>
      <c r="U5" s="2"/>
      <c r="V5" s="2">
        <v>39362</v>
      </c>
      <c r="W5" s="2"/>
      <c r="X5" s="2">
        <v>39728</v>
      </c>
      <c r="Y5" s="2"/>
      <c r="Z5" s="2">
        <v>39884</v>
      </c>
      <c r="AA5" s="2"/>
      <c r="AB5" s="2">
        <v>39905</v>
      </c>
      <c r="AC5" s="2"/>
      <c r="AD5" s="2">
        <v>39979</v>
      </c>
      <c r="AE5" s="2"/>
      <c r="AF5" s="2">
        <v>40159</v>
      </c>
      <c r="AG5" s="2"/>
      <c r="AH5" s="2">
        <v>39950</v>
      </c>
      <c r="AI5" s="2"/>
    </row>
    <row r="6" spans="1:35">
      <c r="A6" s="1" t="s">
        <v>6</v>
      </c>
      <c r="B6" s="12">
        <v>30706</v>
      </c>
      <c r="C6" s="12"/>
      <c r="D6" s="12">
        <v>30622</v>
      </c>
      <c r="E6" s="12"/>
      <c r="F6" s="2">
        <v>31070</v>
      </c>
      <c r="G6" s="2"/>
      <c r="H6" s="2">
        <v>31706</v>
      </c>
      <c r="I6" s="2"/>
      <c r="J6" s="2">
        <v>30225</v>
      </c>
      <c r="K6" s="2"/>
      <c r="L6" s="2">
        <v>30620</v>
      </c>
      <c r="M6" s="2"/>
      <c r="N6" s="2">
        <v>31841</v>
      </c>
      <c r="O6" s="2"/>
      <c r="P6" s="2">
        <v>31739</v>
      </c>
      <c r="Q6" s="2"/>
      <c r="R6" s="2">
        <v>31914</v>
      </c>
      <c r="S6" s="2"/>
      <c r="T6" s="2">
        <v>31812</v>
      </c>
      <c r="U6" s="2"/>
      <c r="V6" s="2">
        <v>32101</v>
      </c>
      <c r="W6" s="2"/>
      <c r="X6" s="2">
        <v>32388</v>
      </c>
      <c r="Y6" s="2"/>
      <c r="Z6" s="2">
        <v>32518</v>
      </c>
      <c r="AA6" s="2"/>
      <c r="AB6" s="2">
        <v>32538</v>
      </c>
      <c r="AC6" s="2"/>
      <c r="AD6" s="2">
        <v>32593</v>
      </c>
      <c r="AE6" s="2"/>
      <c r="AF6" s="2">
        <v>32701</v>
      </c>
      <c r="AG6" s="2"/>
      <c r="AH6" s="2">
        <v>32578</v>
      </c>
      <c r="AI6" s="2"/>
    </row>
    <row r="7" spans="1:35">
      <c r="A7" s="1"/>
      <c r="B7" s="12"/>
      <c r="C7" s="12"/>
      <c r="D7" s="12"/>
      <c r="E7" s="1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>
      <c r="A8" s="1" t="s">
        <v>7</v>
      </c>
      <c r="B8" s="12" t="s">
        <v>181</v>
      </c>
      <c r="C8" s="12" t="s">
        <v>182</v>
      </c>
      <c r="D8" s="12" t="s">
        <v>183</v>
      </c>
      <c r="E8" s="12" t="s">
        <v>184</v>
      </c>
      <c r="F8" s="2" t="s">
        <v>185</v>
      </c>
      <c r="G8" s="2" t="s">
        <v>92</v>
      </c>
      <c r="H8" s="2" t="s">
        <v>12</v>
      </c>
      <c r="I8" s="2" t="s">
        <v>13</v>
      </c>
      <c r="J8" s="2" t="s">
        <v>186</v>
      </c>
      <c r="K8" s="2" t="s">
        <v>187</v>
      </c>
      <c r="L8" s="2" t="s">
        <v>188</v>
      </c>
      <c r="M8" s="2" t="s">
        <v>189</v>
      </c>
      <c r="N8" s="2" t="s">
        <v>190</v>
      </c>
      <c r="O8" s="2" t="s">
        <v>191</v>
      </c>
      <c r="P8" s="2" t="s">
        <v>192</v>
      </c>
      <c r="Q8" s="2" t="s">
        <v>193</v>
      </c>
      <c r="R8" s="2" t="s">
        <v>194</v>
      </c>
      <c r="S8" s="2" t="s">
        <v>195</v>
      </c>
      <c r="T8" s="2" t="s">
        <v>196</v>
      </c>
      <c r="U8" s="2" t="s">
        <v>191</v>
      </c>
      <c r="V8" s="2" t="s">
        <v>197</v>
      </c>
      <c r="W8" s="2" t="s">
        <v>198</v>
      </c>
      <c r="X8" s="2" t="s">
        <v>199</v>
      </c>
      <c r="Y8" s="2" t="s">
        <v>90</v>
      </c>
      <c r="Z8" s="2" t="s">
        <v>200</v>
      </c>
      <c r="AA8" s="2" t="s">
        <v>201</v>
      </c>
      <c r="AB8" s="2" t="s">
        <v>202</v>
      </c>
      <c r="AC8" s="2" t="s">
        <v>203</v>
      </c>
      <c r="AD8" s="2" t="s">
        <v>204</v>
      </c>
      <c r="AE8" s="2" t="s">
        <v>205</v>
      </c>
      <c r="AF8" s="2" t="s">
        <v>206</v>
      </c>
      <c r="AG8" s="2" t="s">
        <v>42</v>
      </c>
      <c r="AH8" s="2" t="s">
        <v>207</v>
      </c>
      <c r="AI8" s="2" t="s">
        <v>205</v>
      </c>
    </row>
    <row r="9" spans="1:35">
      <c r="A9" s="1" t="s">
        <v>14</v>
      </c>
      <c r="B9" s="12" t="s">
        <v>208</v>
      </c>
      <c r="C9" s="12" t="s">
        <v>209</v>
      </c>
      <c r="D9" s="12" t="s">
        <v>210</v>
      </c>
      <c r="E9" s="12" t="s">
        <v>209</v>
      </c>
      <c r="F9" s="2" t="s">
        <v>211</v>
      </c>
      <c r="G9" s="2" t="s">
        <v>209</v>
      </c>
      <c r="H9" s="2" t="s">
        <v>19</v>
      </c>
      <c r="I9" s="2" t="s">
        <v>20</v>
      </c>
      <c r="J9" s="2" t="s">
        <v>212</v>
      </c>
      <c r="K9" s="2" t="s">
        <v>209</v>
      </c>
      <c r="L9" s="2" t="s">
        <v>213</v>
      </c>
      <c r="M9" s="2" t="s">
        <v>209</v>
      </c>
      <c r="N9" s="2" t="s">
        <v>214</v>
      </c>
      <c r="O9" s="2" t="s">
        <v>209</v>
      </c>
      <c r="P9" s="2" t="s">
        <v>215</v>
      </c>
      <c r="Q9" s="2" t="s">
        <v>216</v>
      </c>
      <c r="R9" s="2" t="s">
        <v>217</v>
      </c>
      <c r="S9" s="2" t="s">
        <v>209</v>
      </c>
      <c r="T9" s="2" t="s">
        <v>218</v>
      </c>
      <c r="U9" s="2" t="s">
        <v>216</v>
      </c>
      <c r="V9" s="2" t="s">
        <v>219</v>
      </c>
      <c r="W9" s="2" t="s">
        <v>209</v>
      </c>
      <c r="X9" s="2" t="s">
        <v>220</v>
      </c>
      <c r="Y9" s="2" t="s">
        <v>105</v>
      </c>
      <c r="Z9" s="2" t="s">
        <v>221</v>
      </c>
      <c r="AA9" s="2" t="s">
        <v>105</v>
      </c>
      <c r="AB9" s="2" t="s">
        <v>222</v>
      </c>
      <c r="AC9" s="2" t="s">
        <v>105</v>
      </c>
      <c r="AD9" s="2" t="s">
        <v>223</v>
      </c>
      <c r="AE9" s="2" t="s">
        <v>105</v>
      </c>
      <c r="AF9" s="2" t="s">
        <v>224</v>
      </c>
      <c r="AG9" s="2" t="s">
        <v>225</v>
      </c>
      <c r="AH9" s="2" t="s">
        <v>226</v>
      </c>
      <c r="AI9" s="2" t="s">
        <v>105</v>
      </c>
    </row>
    <row r="10" spans="1:35">
      <c r="A10" s="1" t="s">
        <v>21</v>
      </c>
      <c r="B10" s="12" t="s">
        <v>227</v>
      </c>
      <c r="C10" s="12" t="s">
        <v>228</v>
      </c>
      <c r="D10" s="12" t="s">
        <v>229</v>
      </c>
      <c r="E10" s="12" t="s">
        <v>230</v>
      </c>
      <c r="F10" s="2" t="s">
        <v>231</v>
      </c>
      <c r="G10" s="2" t="s">
        <v>232</v>
      </c>
      <c r="H10" s="2" t="s">
        <v>26</v>
      </c>
      <c r="I10" s="2" t="s">
        <v>27</v>
      </c>
      <c r="J10" s="2" t="s">
        <v>233</v>
      </c>
      <c r="K10" s="2" t="s">
        <v>234</v>
      </c>
      <c r="L10" s="2" t="s">
        <v>235</v>
      </c>
      <c r="M10" s="2" t="s">
        <v>230</v>
      </c>
      <c r="N10" s="2" t="s">
        <v>236</v>
      </c>
      <c r="O10" s="2" t="s">
        <v>187</v>
      </c>
      <c r="P10" s="2" t="s">
        <v>237</v>
      </c>
      <c r="Q10" s="2" t="s">
        <v>238</v>
      </c>
      <c r="R10" s="2" t="s">
        <v>239</v>
      </c>
      <c r="S10" s="2" t="s">
        <v>189</v>
      </c>
      <c r="T10" s="2" t="s">
        <v>240</v>
      </c>
      <c r="U10" s="2" t="s">
        <v>187</v>
      </c>
      <c r="V10" s="2" t="s">
        <v>241</v>
      </c>
      <c r="W10" s="2" t="s">
        <v>184</v>
      </c>
      <c r="X10" s="2" t="s">
        <v>242</v>
      </c>
      <c r="Y10" s="2" t="s">
        <v>243</v>
      </c>
      <c r="Z10" s="2" t="s">
        <v>244</v>
      </c>
      <c r="AA10" s="2" t="s">
        <v>13</v>
      </c>
      <c r="AB10" s="2" t="s">
        <v>245</v>
      </c>
      <c r="AC10" s="2" t="s">
        <v>16</v>
      </c>
      <c r="AD10" s="2" t="s">
        <v>246</v>
      </c>
      <c r="AE10" s="2" t="s">
        <v>247</v>
      </c>
      <c r="AF10" s="2" t="s">
        <v>248</v>
      </c>
      <c r="AG10" s="2" t="s">
        <v>249</v>
      </c>
      <c r="AH10" s="2" t="s">
        <v>250</v>
      </c>
      <c r="AI10" s="2" t="s">
        <v>247</v>
      </c>
    </row>
    <row r="11" spans="1:35">
      <c r="A11" s="1" t="s">
        <v>28</v>
      </c>
      <c r="B11" s="12" t="s">
        <v>251</v>
      </c>
      <c r="C11" s="12" t="s">
        <v>32</v>
      </c>
      <c r="D11" s="12" t="s">
        <v>252</v>
      </c>
      <c r="E11" s="12" t="s">
        <v>253</v>
      </c>
      <c r="F11" s="2" t="s">
        <v>254</v>
      </c>
      <c r="G11" s="2" t="s">
        <v>32</v>
      </c>
      <c r="H11" s="2" t="s">
        <v>33</v>
      </c>
      <c r="I11" s="2" t="s">
        <v>32</v>
      </c>
      <c r="J11" s="2" t="s">
        <v>255</v>
      </c>
      <c r="K11" s="2" t="s">
        <v>253</v>
      </c>
      <c r="L11" s="2" t="s">
        <v>256</v>
      </c>
      <c r="M11" s="2" t="s">
        <v>32</v>
      </c>
      <c r="N11" s="2" t="s">
        <v>257</v>
      </c>
      <c r="O11" s="2" t="s">
        <v>32</v>
      </c>
      <c r="P11" s="2" t="s">
        <v>258</v>
      </c>
      <c r="Q11" s="2" t="s">
        <v>32</v>
      </c>
      <c r="R11" s="2" t="s">
        <v>259</v>
      </c>
      <c r="S11" s="2" t="s">
        <v>32</v>
      </c>
      <c r="T11" s="2" t="s">
        <v>260</v>
      </c>
      <c r="U11" s="2" t="s">
        <v>32</v>
      </c>
      <c r="V11" s="2" t="s">
        <v>261</v>
      </c>
      <c r="W11" s="2" t="s">
        <v>32</v>
      </c>
      <c r="X11" s="2" t="s">
        <v>262</v>
      </c>
      <c r="Y11" s="2" t="s">
        <v>263</v>
      </c>
      <c r="Z11" s="2" t="s">
        <v>264</v>
      </c>
      <c r="AA11" s="2" t="s">
        <v>263</v>
      </c>
      <c r="AB11" s="2" t="s">
        <v>265</v>
      </c>
      <c r="AC11" s="2" t="s">
        <v>32</v>
      </c>
      <c r="AD11" s="2" t="s">
        <v>266</v>
      </c>
      <c r="AE11" s="2" t="s">
        <v>263</v>
      </c>
      <c r="AF11" s="2" t="s">
        <v>267</v>
      </c>
      <c r="AG11" s="2" t="s">
        <v>268</v>
      </c>
      <c r="AH11" s="2" t="s">
        <v>269</v>
      </c>
      <c r="AI11" s="2" t="s">
        <v>263</v>
      </c>
    </row>
    <row r="12" spans="1:35">
      <c r="A12" s="1" t="s">
        <v>34</v>
      </c>
      <c r="B12" s="12" t="s">
        <v>270</v>
      </c>
      <c r="C12" s="12" t="s">
        <v>271</v>
      </c>
      <c r="D12" s="12" t="s">
        <v>272</v>
      </c>
      <c r="E12" s="12" t="s">
        <v>125</v>
      </c>
      <c r="F12" s="2" t="s">
        <v>273</v>
      </c>
      <c r="G12" s="2" t="s">
        <v>274</v>
      </c>
      <c r="H12" s="2" t="s">
        <v>38</v>
      </c>
      <c r="I12" s="2" t="s">
        <v>39</v>
      </c>
      <c r="J12" s="2" t="s">
        <v>275</v>
      </c>
      <c r="K12" s="2" t="s">
        <v>276</v>
      </c>
      <c r="L12" s="2" t="s">
        <v>277</v>
      </c>
      <c r="M12" s="2" t="s">
        <v>278</v>
      </c>
      <c r="N12" s="2" t="s">
        <v>279</v>
      </c>
      <c r="O12" s="2" t="s">
        <v>280</v>
      </c>
      <c r="P12" s="2" t="s">
        <v>281</v>
      </c>
      <c r="Q12" s="2" t="s">
        <v>282</v>
      </c>
      <c r="R12" s="2" t="s">
        <v>275</v>
      </c>
      <c r="S12" s="2" t="s">
        <v>276</v>
      </c>
      <c r="T12" s="2" t="s">
        <v>283</v>
      </c>
      <c r="U12" s="2" t="s">
        <v>276</v>
      </c>
      <c r="V12" s="2" t="s">
        <v>284</v>
      </c>
      <c r="W12" s="2" t="s">
        <v>276</v>
      </c>
      <c r="X12" s="2" t="s">
        <v>285</v>
      </c>
      <c r="Y12" s="2" t="s">
        <v>46</v>
      </c>
      <c r="Z12" s="2" t="s">
        <v>286</v>
      </c>
      <c r="AA12" s="2" t="s">
        <v>274</v>
      </c>
      <c r="AB12" s="2" t="s">
        <v>287</v>
      </c>
      <c r="AC12" s="2" t="s">
        <v>46</v>
      </c>
      <c r="AD12" s="2" t="s">
        <v>288</v>
      </c>
      <c r="AE12" s="2" t="s">
        <v>121</v>
      </c>
      <c r="AF12" s="2" t="s">
        <v>289</v>
      </c>
      <c r="AG12" s="2" t="s">
        <v>44</v>
      </c>
      <c r="AH12" s="2" t="s">
        <v>290</v>
      </c>
      <c r="AI12" s="2" t="s">
        <v>274</v>
      </c>
    </row>
    <row r="13" spans="1:35">
      <c r="A13" s="1" t="s">
        <v>40</v>
      </c>
      <c r="B13" s="12" t="s">
        <v>291</v>
      </c>
      <c r="C13" s="12" t="s">
        <v>280</v>
      </c>
      <c r="D13" s="12" t="s">
        <v>292</v>
      </c>
      <c r="E13" s="12" t="s">
        <v>282</v>
      </c>
      <c r="F13" s="2" t="s">
        <v>293</v>
      </c>
      <c r="G13" s="2" t="s">
        <v>280</v>
      </c>
      <c r="H13" s="2" t="s">
        <v>45</v>
      </c>
      <c r="I13" s="2" t="s">
        <v>46</v>
      </c>
      <c r="J13" s="2" t="s">
        <v>294</v>
      </c>
      <c r="K13" s="2" t="s">
        <v>276</v>
      </c>
      <c r="L13" s="2" t="s">
        <v>295</v>
      </c>
      <c r="M13" s="2" t="s">
        <v>276</v>
      </c>
      <c r="N13" s="2" t="s">
        <v>296</v>
      </c>
      <c r="O13" s="2" t="s">
        <v>149</v>
      </c>
      <c r="P13" s="2" t="s">
        <v>297</v>
      </c>
      <c r="Q13" s="2" t="s">
        <v>280</v>
      </c>
      <c r="R13" s="2" t="s">
        <v>298</v>
      </c>
      <c r="S13" s="2" t="s">
        <v>149</v>
      </c>
      <c r="T13" s="2" t="s">
        <v>299</v>
      </c>
      <c r="U13" s="2" t="s">
        <v>280</v>
      </c>
      <c r="V13" s="2" t="s">
        <v>300</v>
      </c>
      <c r="W13" s="2" t="s">
        <v>282</v>
      </c>
      <c r="X13" s="2" t="s">
        <v>301</v>
      </c>
      <c r="Y13" s="2" t="s">
        <v>302</v>
      </c>
      <c r="Z13" s="2" t="s">
        <v>303</v>
      </c>
      <c r="AA13" s="2" t="s">
        <v>304</v>
      </c>
      <c r="AB13" s="2" t="s">
        <v>305</v>
      </c>
      <c r="AC13" s="2" t="s">
        <v>304</v>
      </c>
      <c r="AD13" s="2" t="s">
        <v>306</v>
      </c>
      <c r="AE13" s="2" t="s">
        <v>304</v>
      </c>
      <c r="AF13" s="2" t="s">
        <v>307</v>
      </c>
      <c r="AG13" s="2" t="s">
        <v>308</v>
      </c>
      <c r="AH13" s="2" t="s">
        <v>309</v>
      </c>
      <c r="AI13" s="2" t="s">
        <v>304</v>
      </c>
    </row>
    <row r="14" spans="1:35">
      <c r="A14" s="1"/>
      <c r="B14" s="12"/>
      <c r="C14" s="12"/>
      <c r="D14" s="12"/>
      <c r="E14" s="1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>
      <c r="A15" s="1" t="s">
        <v>47</v>
      </c>
      <c r="B15" s="12">
        <v>4114</v>
      </c>
      <c r="C15" s="12"/>
      <c r="D15" s="12">
        <v>4113</v>
      </c>
      <c r="E15" s="12"/>
      <c r="F15" s="2">
        <v>4233</v>
      </c>
      <c r="G15" s="2"/>
      <c r="H15" s="2">
        <v>4516</v>
      </c>
      <c r="I15" s="2"/>
      <c r="J15" s="2">
        <v>3922</v>
      </c>
      <c r="K15" s="2"/>
      <c r="L15" s="2">
        <v>4119</v>
      </c>
      <c r="M15" s="2"/>
      <c r="N15" s="2">
        <v>4554</v>
      </c>
      <c r="O15" s="2"/>
      <c r="P15" s="2">
        <v>4553</v>
      </c>
      <c r="Q15" s="2"/>
      <c r="R15" s="2">
        <v>4592</v>
      </c>
      <c r="S15" s="2"/>
      <c r="T15" s="2">
        <v>4589</v>
      </c>
      <c r="U15" s="2"/>
      <c r="V15" s="2">
        <v>4679</v>
      </c>
      <c r="W15" s="2"/>
      <c r="X15" s="2">
        <v>4755</v>
      </c>
      <c r="Y15" s="2"/>
      <c r="Z15" s="2">
        <v>4786</v>
      </c>
      <c r="AA15" s="2"/>
      <c r="AB15" s="2">
        <v>4803</v>
      </c>
      <c r="AC15" s="2"/>
      <c r="AD15" s="2">
        <v>4816</v>
      </c>
      <c r="AE15" s="2"/>
      <c r="AF15" s="2">
        <v>4810</v>
      </c>
      <c r="AG15" s="2"/>
      <c r="AH15" s="2">
        <v>4809</v>
      </c>
      <c r="AI15" s="2"/>
    </row>
    <row r="16" spans="1:35">
      <c r="A16" s="1" t="s">
        <v>48</v>
      </c>
      <c r="B16" s="12">
        <f>4114/7547</f>
        <v>0.54511726513846559</v>
      </c>
      <c r="C16" s="12" t="s">
        <v>310</v>
      </c>
      <c r="D16" s="12">
        <f>4113/7565</f>
        <v>0.54368803701255786</v>
      </c>
      <c r="E16" s="12" t="s">
        <v>311</v>
      </c>
      <c r="F16" s="2">
        <f>4233/7537</f>
        <v>0.56162929547565343</v>
      </c>
      <c r="G16" s="2" t="s">
        <v>312</v>
      </c>
      <c r="H16" s="4">
        <f>4516/7064</f>
        <v>0.63929784824462066</v>
      </c>
      <c r="I16" s="9" t="s">
        <v>54</v>
      </c>
      <c r="J16" s="2">
        <f>3922/7634</f>
        <v>0.51375425727010737</v>
      </c>
      <c r="K16" s="2" t="s">
        <v>313</v>
      </c>
      <c r="L16" s="2">
        <f>4119/7418</f>
        <v>0.55527096252359132</v>
      </c>
      <c r="M16" s="10" t="s">
        <v>314</v>
      </c>
      <c r="N16" s="2">
        <f>4554/7195</f>
        <v>0.63293954134815844</v>
      </c>
      <c r="O16" s="10" t="s">
        <v>315</v>
      </c>
      <c r="P16" s="2">
        <f>4553/7187</f>
        <v>0.6335049394740504</v>
      </c>
      <c r="Q16" s="10" t="s">
        <v>316</v>
      </c>
      <c r="R16" s="2">
        <f>4592/7201</f>
        <v>0.63768920983196775</v>
      </c>
      <c r="S16" s="10" t="s">
        <v>317</v>
      </c>
      <c r="T16" s="2">
        <f>4589/7207</f>
        <v>0.63674205633411962</v>
      </c>
      <c r="U16" s="10" t="s">
        <v>318</v>
      </c>
      <c r="V16" s="2">
        <f>4679/7112</f>
        <v>0.65790213723284585</v>
      </c>
      <c r="W16" s="10" t="s">
        <v>319</v>
      </c>
      <c r="X16" s="2">
        <f>4755/7183</f>
        <v>0.66197967423082282</v>
      </c>
      <c r="Y16" s="10" t="s">
        <v>320</v>
      </c>
      <c r="Z16" s="2">
        <f>4786/7196</f>
        <v>0.66509171762090047</v>
      </c>
      <c r="AA16" s="10" t="s">
        <v>61</v>
      </c>
      <c r="AB16" s="2">
        <f>4803/7195</f>
        <v>0.6675469075747047</v>
      </c>
      <c r="AC16" s="10" t="s">
        <v>321</v>
      </c>
      <c r="AD16" s="2">
        <f>4816/7209</f>
        <v>0.6680538216118741</v>
      </c>
      <c r="AE16" s="10" t="s">
        <v>321</v>
      </c>
      <c r="AF16" s="2">
        <f>4810/7252</f>
        <v>0.66326530612244894</v>
      </c>
      <c r="AG16" s="10" t="s">
        <v>322</v>
      </c>
      <c r="AH16" s="2">
        <f>4809/7199</f>
        <v>0.66800944575635501</v>
      </c>
      <c r="AI16" s="10" t="s">
        <v>321</v>
      </c>
    </row>
    <row r="17" spans="1:35">
      <c r="A17" s="1" t="s">
        <v>323</v>
      </c>
      <c r="B17" s="12">
        <f>4114/6795</f>
        <v>0.60544518027961736</v>
      </c>
      <c r="C17" s="12" t="s">
        <v>324</v>
      </c>
      <c r="D17" s="12">
        <f>4113/6795</f>
        <v>0.60529801324503307</v>
      </c>
      <c r="E17" s="12" t="s">
        <v>324</v>
      </c>
      <c r="F17" s="2">
        <f>4233/6795</f>
        <v>0.62295805739514354</v>
      </c>
      <c r="G17" s="2" t="s">
        <v>325</v>
      </c>
      <c r="H17" s="2">
        <f>4516/6795</f>
        <v>0.6646063281824871</v>
      </c>
      <c r="I17" s="2" t="s">
        <v>61</v>
      </c>
      <c r="J17" s="2">
        <f>3922/6795</f>
        <v>0.57718910963944081</v>
      </c>
      <c r="K17" s="2" t="s">
        <v>326</v>
      </c>
      <c r="L17" s="2">
        <f>4119/6795</f>
        <v>0.60618101545253866</v>
      </c>
      <c r="M17" s="10" t="s">
        <v>328</v>
      </c>
      <c r="N17" s="2">
        <f>4554/6795</f>
        <v>0.67019867549668877</v>
      </c>
      <c r="O17" s="10">
        <v>0.67</v>
      </c>
      <c r="P17" s="2">
        <f>4553/6795</f>
        <v>0.67005150846210448</v>
      </c>
      <c r="Q17" s="10">
        <v>0.67</v>
      </c>
      <c r="R17" s="2">
        <f>4592/6795</f>
        <v>0.67579102281089032</v>
      </c>
      <c r="S17" s="10" t="s">
        <v>329</v>
      </c>
      <c r="T17" s="2">
        <f>4589/6795</f>
        <v>0.67534952170713758</v>
      </c>
      <c r="U17" s="10" t="s">
        <v>330</v>
      </c>
      <c r="V17" s="2">
        <f>4679/6795</f>
        <v>0.68859455481972043</v>
      </c>
      <c r="W17" s="10" t="s">
        <v>331</v>
      </c>
      <c r="X17" s="2">
        <f>4755/6795</f>
        <v>0.69977924944812364</v>
      </c>
      <c r="Y17" s="10">
        <v>0.7</v>
      </c>
      <c r="Z17" s="2">
        <f>4786/6795</f>
        <v>0.70434142752023543</v>
      </c>
      <c r="AA17" s="10" t="s">
        <v>332</v>
      </c>
      <c r="AB17" s="2">
        <f>4803/6795</f>
        <v>0.70684326710816781</v>
      </c>
      <c r="AC17" s="10" t="s">
        <v>333</v>
      </c>
      <c r="AD17" s="2">
        <f>4816/6795</f>
        <v>0.70875643855776305</v>
      </c>
      <c r="AE17" s="10" t="s">
        <v>334</v>
      </c>
      <c r="AF17" s="2">
        <f>4810/6795</f>
        <v>0.70787343635025757</v>
      </c>
      <c r="AG17" s="10" t="s">
        <v>335</v>
      </c>
      <c r="AH17" s="2">
        <f>4809/6795</f>
        <v>0.70772626931567328</v>
      </c>
      <c r="AI17" s="10" t="s">
        <v>335</v>
      </c>
    </row>
    <row r="18" spans="1:35">
      <c r="A18" s="1" t="s">
        <v>62</v>
      </c>
      <c r="B18" s="12" t="s">
        <v>336</v>
      </c>
      <c r="C18" s="12" t="s">
        <v>54</v>
      </c>
      <c r="D18" s="12" t="s">
        <v>337</v>
      </c>
      <c r="E18" s="12" t="s">
        <v>338</v>
      </c>
      <c r="F18" s="2" t="s">
        <v>339</v>
      </c>
      <c r="G18" s="10" t="s">
        <v>340</v>
      </c>
      <c r="H18" s="2" t="s">
        <v>67</v>
      </c>
      <c r="I18" s="2" t="s">
        <v>68</v>
      </c>
      <c r="J18" s="2" t="s">
        <v>341</v>
      </c>
      <c r="K18" s="10" t="s">
        <v>342</v>
      </c>
      <c r="L18" s="2" t="s">
        <v>343</v>
      </c>
      <c r="M18" s="10" t="s">
        <v>344</v>
      </c>
      <c r="N18" s="2" t="s">
        <v>345</v>
      </c>
      <c r="O18" s="10" t="s">
        <v>68</v>
      </c>
      <c r="P18" s="2" t="s">
        <v>346</v>
      </c>
      <c r="Q18" s="10" t="s">
        <v>347</v>
      </c>
      <c r="R18" s="2" t="s">
        <v>348</v>
      </c>
      <c r="S18" s="10" t="s">
        <v>349</v>
      </c>
      <c r="T18" s="2" t="s">
        <v>350</v>
      </c>
      <c r="U18" s="10" t="s">
        <v>351</v>
      </c>
      <c r="V18" s="2" t="s">
        <v>352</v>
      </c>
      <c r="W18" s="10">
        <v>0.73</v>
      </c>
      <c r="X18" s="2" t="s">
        <v>353</v>
      </c>
      <c r="Y18" s="10" t="s">
        <v>354</v>
      </c>
      <c r="Z18" s="2" t="s">
        <v>355</v>
      </c>
      <c r="AA18" s="10" t="s">
        <v>356</v>
      </c>
      <c r="AB18" s="2" t="s">
        <v>357</v>
      </c>
      <c r="AC18" s="10" t="s">
        <v>358</v>
      </c>
      <c r="AD18" s="2" t="s">
        <v>359</v>
      </c>
      <c r="AE18" s="10" t="s">
        <v>358</v>
      </c>
      <c r="AF18" s="2" t="s">
        <v>360</v>
      </c>
      <c r="AG18" s="10" t="s">
        <v>356</v>
      </c>
      <c r="AH18" s="2" t="s">
        <v>361</v>
      </c>
      <c r="AI18" s="10" t="s">
        <v>358</v>
      </c>
    </row>
    <row r="19" spans="1:35">
      <c r="A19" s="1"/>
      <c r="B19" s="12">
        <f>B16*B17</f>
        <v>0.33003862086529029</v>
      </c>
      <c r="C19" s="12"/>
      <c r="D19" s="12">
        <f>D16*D17</f>
        <v>0.32909328862879328</v>
      </c>
      <c r="E19" s="12"/>
      <c r="F19" s="12">
        <f>F16*F17</f>
        <v>0.34987149488571612</v>
      </c>
      <c r="G19" s="2"/>
      <c r="H19" s="12">
        <f>H16*H17</f>
        <v>0.42488139553682219</v>
      </c>
      <c r="I19" s="2"/>
      <c r="J19" s="12">
        <f>J16*J17</f>
        <v>0.29653336232720551</v>
      </c>
      <c r="K19" s="2"/>
      <c r="L19" s="12">
        <f>L16*L17</f>
        <v>0.33659471591385914</v>
      </c>
      <c r="M19" s="2"/>
      <c r="N19" s="12">
        <f>N16*N17</f>
        <v>0.42419524228101746</v>
      </c>
      <c r="O19" s="2"/>
      <c r="P19" s="12">
        <f>P16*P17</f>
        <v>0.42448094031278166</v>
      </c>
      <c r="Q19" s="2"/>
      <c r="R19" s="12">
        <f>R16*R17</f>
        <v>0.43094464334781396</v>
      </c>
      <c r="S19" s="2"/>
      <c r="T19" s="12">
        <f>T16*T17</f>
        <v>0.43002344319606695</v>
      </c>
      <c r="U19" s="2"/>
      <c r="V19" s="12">
        <f>V16*V17</f>
        <v>0.45302782930279412</v>
      </c>
      <c r="W19" s="2"/>
      <c r="X19" s="12">
        <f>X16*X17</f>
        <v>0.46323963958315861</v>
      </c>
      <c r="Y19" s="2"/>
      <c r="Z19" s="12">
        <f>Z16*Z17</f>
        <v>0.46845164982099036</v>
      </c>
      <c r="AA19" s="2"/>
      <c r="AB19" s="12">
        <f>AB16*AB17</f>
        <v>0.47185103709805842</v>
      </c>
      <c r="AC19" s="2"/>
      <c r="AD19" s="12">
        <f>AD16*AD17</f>
        <v>0.47348744737053505</v>
      </c>
      <c r="AE19" s="2"/>
      <c r="AF19" s="12">
        <f>AF16*AF17</f>
        <v>0.46950789145680344</v>
      </c>
      <c r="AG19" s="2"/>
      <c r="AH19" s="12">
        <f>AH16*AH17</f>
        <v>0.47276783291277574</v>
      </c>
      <c r="AI19" s="2"/>
    </row>
    <row r="20" spans="1:35">
      <c r="A20" s="1"/>
      <c r="B20" s="12"/>
      <c r="C20" s="12"/>
      <c r="D20" s="12"/>
      <c r="E20" s="1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>
      <c r="A21" s="1" t="s">
        <v>69</v>
      </c>
      <c r="B21" s="12"/>
      <c r="C21" s="12"/>
      <c r="D21" s="12"/>
      <c r="E21" s="1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>
      <c r="A22" s="1"/>
      <c r="B22" s="12"/>
      <c r="C22" s="12"/>
      <c r="D22" s="12"/>
      <c r="E22" s="1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>
      <c r="A23" s="1" t="s">
        <v>70</v>
      </c>
      <c r="B23" s="12">
        <v>7118</v>
      </c>
      <c r="C23" s="12"/>
      <c r="D23" s="12">
        <v>7123</v>
      </c>
      <c r="E23" s="12"/>
      <c r="F23" s="2">
        <v>7109</v>
      </c>
      <c r="G23" s="2"/>
      <c r="H23" s="2">
        <v>6713</v>
      </c>
      <c r="I23" s="2"/>
      <c r="J23" s="2">
        <v>7203</v>
      </c>
      <c r="K23" s="2"/>
      <c r="L23" s="2">
        <v>7001</v>
      </c>
      <c r="M23" s="2"/>
      <c r="N23" s="2">
        <v>6771</v>
      </c>
      <c r="O23" s="2"/>
      <c r="P23" s="2">
        <v>6777</v>
      </c>
      <c r="Q23" s="2"/>
      <c r="R23" s="2">
        <v>6779</v>
      </c>
      <c r="S23" s="2"/>
      <c r="T23" s="2">
        <v>6796</v>
      </c>
      <c r="U23" s="2"/>
      <c r="V23" s="2">
        <v>6696</v>
      </c>
      <c r="W23" s="2"/>
      <c r="X23" s="2">
        <v>6746</v>
      </c>
      <c r="Y23" s="2"/>
      <c r="Z23" s="2">
        <v>6750</v>
      </c>
      <c r="AA23" s="2"/>
      <c r="AB23" s="2">
        <v>6750</v>
      </c>
      <c r="AC23" s="2"/>
      <c r="AD23" s="2">
        <v>6763</v>
      </c>
      <c r="AE23" s="2"/>
      <c r="AF23" s="2">
        <v>6788</v>
      </c>
      <c r="AG23" s="2"/>
      <c r="AH23" s="2">
        <v>6753</v>
      </c>
      <c r="AI23" s="2"/>
    </row>
    <row r="24" spans="1:35">
      <c r="A24" s="1" t="s">
        <v>71</v>
      </c>
      <c r="B24" s="12">
        <v>6435</v>
      </c>
      <c r="C24" s="12"/>
      <c r="D24" s="12">
        <v>6421</v>
      </c>
      <c r="E24" s="12"/>
      <c r="F24" s="2">
        <v>6463</v>
      </c>
      <c r="G24" s="2"/>
      <c r="H24" s="2">
        <v>6348</v>
      </c>
      <c r="I24" s="2"/>
      <c r="J24" s="2">
        <v>6416</v>
      </c>
      <c r="K24" s="2"/>
      <c r="L24" s="2">
        <v>6390</v>
      </c>
      <c r="M24" s="2"/>
      <c r="N24" s="2">
        <v>6407</v>
      </c>
      <c r="O24" s="2"/>
      <c r="P24" s="2">
        <v>6399</v>
      </c>
      <c r="Q24" s="2"/>
      <c r="R24" s="2">
        <v>6416</v>
      </c>
      <c r="S24" s="2"/>
      <c r="T24" s="2">
        <v>6414</v>
      </c>
      <c r="U24" s="2"/>
      <c r="V24" s="2">
        <v>6412</v>
      </c>
      <c r="W24" s="2"/>
      <c r="X24" s="2">
        <v>6453</v>
      </c>
      <c r="Y24" s="2"/>
      <c r="Z24" s="2">
        <v>6460</v>
      </c>
      <c r="AA24" s="2"/>
      <c r="AB24" s="2">
        <v>6457</v>
      </c>
      <c r="AC24" s="2"/>
      <c r="AD24" s="2">
        <v>6471</v>
      </c>
      <c r="AE24" s="2"/>
      <c r="AF24" s="2">
        <v>6489</v>
      </c>
      <c r="AG24" s="2"/>
      <c r="AH24" s="2">
        <v>6462</v>
      </c>
      <c r="AI24" s="2"/>
    </row>
    <row r="25" spans="1:35">
      <c r="A25" s="1" t="s">
        <v>72</v>
      </c>
      <c r="B25" s="12">
        <v>37703</v>
      </c>
      <c r="C25" s="12"/>
      <c r="D25" s="12">
        <v>37618</v>
      </c>
      <c r="E25" s="12"/>
      <c r="F25" s="2">
        <v>38066</v>
      </c>
      <c r="G25" s="2"/>
      <c r="H25" s="2">
        <v>38292</v>
      </c>
      <c r="I25" s="2"/>
      <c r="J25" s="2">
        <v>37316</v>
      </c>
      <c r="K25" s="2"/>
      <c r="L25" s="2">
        <v>37481</v>
      </c>
      <c r="M25" s="2"/>
      <c r="N25" s="2">
        <v>38478</v>
      </c>
      <c r="O25" s="2"/>
      <c r="P25" s="2">
        <v>38402</v>
      </c>
      <c r="Q25" s="2"/>
      <c r="R25" s="2">
        <v>38556</v>
      </c>
      <c r="S25" s="2"/>
      <c r="T25" s="2">
        <v>38480</v>
      </c>
      <c r="U25" s="2"/>
      <c r="V25" s="2">
        <v>38663</v>
      </c>
      <c r="W25" s="2"/>
      <c r="X25" s="2">
        <v>38990</v>
      </c>
      <c r="Y25" s="2"/>
      <c r="Z25" s="2">
        <v>39144</v>
      </c>
      <c r="AA25" s="2"/>
      <c r="AB25" s="2">
        <v>39169</v>
      </c>
      <c r="AC25" s="2"/>
      <c r="AD25" s="2">
        <v>39238</v>
      </c>
      <c r="AE25" s="2"/>
      <c r="AF25" s="2">
        <v>39393</v>
      </c>
      <c r="AG25" s="2"/>
      <c r="AH25" s="2">
        <v>39208</v>
      </c>
      <c r="AI25" s="2"/>
    </row>
    <row r="26" spans="1:35">
      <c r="A26" s="1" t="s">
        <v>73</v>
      </c>
      <c r="B26" s="12">
        <v>30446</v>
      </c>
      <c r="C26" s="12"/>
      <c r="D26" s="12">
        <v>30369</v>
      </c>
      <c r="E26" s="12"/>
      <c r="F26" s="2">
        <v>30805</v>
      </c>
      <c r="G26" s="2"/>
      <c r="H26" s="2">
        <v>31431</v>
      </c>
      <c r="I26" s="2"/>
      <c r="J26" s="2">
        <v>29982</v>
      </c>
      <c r="K26" s="2"/>
      <c r="L26" s="2">
        <v>30365</v>
      </c>
      <c r="M26" s="2"/>
      <c r="N26" s="2">
        <v>31561</v>
      </c>
      <c r="O26" s="2"/>
      <c r="P26" s="2">
        <v>31472</v>
      </c>
      <c r="Q26" s="2"/>
      <c r="R26" s="2">
        <v>31637</v>
      </c>
      <c r="S26" s="2"/>
      <c r="T26" s="2">
        <v>31539</v>
      </c>
      <c r="U26" s="2"/>
      <c r="V26" s="2">
        <v>31822</v>
      </c>
      <c r="W26" s="2"/>
      <c r="X26" s="2">
        <v>32093</v>
      </c>
      <c r="Y26" s="2"/>
      <c r="Z26" s="2">
        <v>32228</v>
      </c>
      <c r="AA26" s="2"/>
      <c r="AB26" s="2">
        <v>32251</v>
      </c>
      <c r="AC26" s="2"/>
      <c r="AD26" s="2">
        <v>32302</v>
      </c>
      <c r="AE26" s="2"/>
      <c r="AF26" s="2">
        <v>32404</v>
      </c>
      <c r="AG26" s="2"/>
      <c r="AH26" s="2">
        <v>32286</v>
      </c>
      <c r="AI26" s="2"/>
    </row>
    <row r="27" spans="1:35">
      <c r="A27" s="1" t="s">
        <v>74</v>
      </c>
      <c r="B27" s="12">
        <v>41713</v>
      </c>
      <c r="C27" s="12"/>
      <c r="D27" s="12">
        <v>41673</v>
      </c>
      <c r="E27" s="12"/>
      <c r="F27" s="2">
        <v>41921</v>
      </c>
      <c r="G27" s="2"/>
      <c r="H27" s="2">
        <v>41422</v>
      </c>
      <c r="I27" s="2"/>
      <c r="J27" s="2">
        <v>41601</v>
      </c>
      <c r="K27" s="2"/>
      <c r="L27" s="2">
        <v>41477</v>
      </c>
      <c r="M27" s="2"/>
      <c r="N27" s="2">
        <v>41648</v>
      </c>
      <c r="O27" s="2"/>
      <c r="P27" s="2">
        <v>41619</v>
      </c>
      <c r="Q27" s="2"/>
      <c r="R27" s="2">
        <v>41725</v>
      </c>
      <c r="S27" s="2"/>
      <c r="T27" s="2">
        <v>41699</v>
      </c>
      <c r="U27" s="2"/>
      <c r="V27" s="2">
        <v>41671</v>
      </c>
      <c r="W27" s="2"/>
      <c r="X27" s="2">
        <v>41879</v>
      </c>
      <c r="Y27" s="2"/>
      <c r="Z27" s="2">
        <v>41947</v>
      </c>
      <c r="AA27" s="2"/>
      <c r="AB27" s="2">
        <v>41948</v>
      </c>
      <c r="AC27" s="2"/>
      <c r="AD27" s="2">
        <v>42015</v>
      </c>
      <c r="AE27" s="2"/>
      <c r="AF27" s="2">
        <v>42098</v>
      </c>
      <c r="AG27" s="2"/>
      <c r="AH27" s="2">
        <v>41969</v>
      </c>
      <c r="AI27" s="2"/>
    </row>
    <row r="28" spans="1:35">
      <c r="A28" s="1" t="s">
        <v>75</v>
      </c>
      <c r="B28" s="12">
        <v>35056</v>
      </c>
      <c r="C28" s="12"/>
      <c r="D28" s="12">
        <v>35028</v>
      </c>
      <c r="E28" s="12"/>
      <c r="F28" s="2">
        <v>35232</v>
      </c>
      <c r="G28" s="2"/>
      <c r="H28" s="2">
        <v>34861</v>
      </c>
      <c r="I28" s="2"/>
      <c r="J28" s="2">
        <v>34962</v>
      </c>
      <c r="K28" s="2"/>
      <c r="L28" s="2">
        <v>34871</v>
      </c>
      <c r="M28" s="2"/>
      <c r="N28" s="2">
        <v>35020</v>
      </c>
      <c r="O28" s="2"/>
      <c r="P28" s="2">
        <v>35000</v>
      </c>
      <c r="Q28" s="2"/>
      <c r="R28" s="2">
        <v>35088</v>
      </c>
      <c r="S28" s="2"/>
      <c r="T28" s="2">
        <v>35065</v>
      </c>
      <c r="U28" s="2"/>
      <c r="V28" s="2">
        <v>35043</v>
      </c>
      <c r="W28" s="2"/>
      <c r="X28" s="2">
        <v>35203</v>
      </c>
      <c r="Y28" s="2"/>
      <c r="Z28" s="2">
        <v>35262</v>
      </c>
      <c r="AA28" s="2"/>
      <c r="AB28" s="2">
        <v>35266</v>
      </c>
      <c r="AC28" s="2"/>
      <c r="AD28" s="2">
        <v>35317</v>
      </c>
      <c r="AE28" s="2"/>
      <c r="AF28" s="2">
        <v>35381</v>
      </c>
      <c r="AG28" s="2"/>
      <c r="AH28" s="2">
        <v>35280</v>
      </c>
      <c r="AI28" s="2"/>
    </row>
    <row r="29" spans="1:35">
      <c r="A29" s="1"/>
      <c r="B29" s="12"/>
      <c r="C29" s="12"/>
      <c r="D29" s="12"/>
      <c r="E29" s="1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>
      <c r="A30" s="1" t="s">
        <v>7</v>
      </c>
      <c r="B30" s="12" t="s">
        <v>362</v>
      </c>
      <c r="C30" s="12" t="s">
        <v>363</v>
      </c>
      <c r="D30" s="12" t="s">
        <v>364</v>
      </c>
      <c r="E30" s="12" t="s">
        <v>158</v>
      </c>
      <c r="F30" s="2" t="s">
        <v>365</v>
      </c>
      <c r="G30" s="2" t="s">
        <v>366</v>
      </c>
      <c r="H30" s="2" t="s">
        <v>79</v>
      </c>
      <c r="I30" s="2" t="s">
        <v>80</v>
      </c>
      <c r="J30" s="2" t="s">
        <v>367</v>
      </c>
      <c r="K30" s="2" t="s">
        <v>203</v>
      </c>
      <c r="L30" s="2" t="s">
        <v>368</v>
      </c>
      <c r="M30" s="2" t="s">
        <v>158</v>
      </c>
      <c r="N30" s="2" t="s">
        <v>369</v>
      </c>
      <c r="O30" s="2" t="s">
        <v>80</v>
      </c>
      <c r="P30" s="2" t="s">
        <v>370</v>
      </c>
      <c r="Q30" s="2" t="s">
        <v>371</v>
      </c>
      <c r="R30" s="2" t="s">
        <v>372</v>
      </c>
      <c r="S30" s="2" t="s">
        <v>80</v>
      </c>
      <c r="T30" s="2" t="s">
        <v>373</v>
      </c>
      <c r="U30" s="2" t="s">
        <v>371</v>
      </c>
      <c r="V30" s="2" t="s">
        <v>374</v>
      </c>
      <c r="W30" s="2" t="s">
        <v>308</v>
      </c>
      <c r="X30" s="2" t="s">
        <v>375</v>
      </c>
      <c r="Y30" s="2" t="s">
        <v>302</v>
      </c>
      <c r="Z30" s="2" t="s">
        <v>376</v>
      </c>
      <c r="AA30" s="2" t="s">
        <v>149</v>
      </c>
      <c r="AB30" s="2" t="s">
        <v>377</v>
      </c>
      <c r="AC30" s="2" t="s">
        <v>149</v>
      </c>
      <c r="AD30" s="2" t="s">
        <v>378</v>
      </c>
      <c r="AE30" s="2" t="s">
        <v>149</v>
      </c>
      <c r="AF30" s="2" t="s">
        <v>379</v>
      </c>
      <c r="AG30" s="2" t="s">
        <v>282</v>
      </c>
      <c r="AH30" s="2" t="s">
        <v>380</v>
      </c>
      <c r="AI30" s="2" t="s">
        <v>282</v>
      </c>
    </row>
    <row r="31" spans="1:35">
      <c r="A31" s="1" t="s">
        <v>14</v>
      </c>
      <c r="B31" s="12" t="s">
        <v>381</v>
      </c>
      <c r="C31" s="12" t="s">
        <v>77</v>
      </c>
      <c r="D31" s="12" t="s">
        <v>382</v>
      </c>
      <c r="E31" s="12" t="s">
        <v>77</v>
      </c>
      <c r="F31" s="2" t="s">
        <v>383</v>
      </c>
      <c r="G31" s="2" t="s">
        <v>77</v>
      </c>
      <c r="H31" s="2" t="s">
        <v>85</v>
      </c>
      <c r="I31" s="2" t="s">
        <v>77</v>
      </c>
      <c r="J31" s="2" t="s">
        <v>384</v>
      </c>
      <c r="K31" s="2" t="s">
        <v>77</v>
      </c>
      <c r="L31" s="2" t="s">
        <v>385</v>
      </c>
      <c r="M31" s="2" t="s">
        <v>77</v>
      </c>
      <c r="N31" s="2" t="s">
        <v>386</v>
      </c>
      <c r="O31" s="2" t="s">
        <v>77</v>
      </c>
      <c r="P31" s="2" t="s">
        <v>387</v>
      </c>
      <c r="Q31" s="2" t="s">
        <v>77</v>
      </c>
      <c r="R31" s="2" t="s">
        <v>388</v>
      </c>
      <c r="S31" s="2" t="s">
        <v>77</v>
      </c>
      <c r="T31" s="2" t="s">
        <v>389</v>
      </c>
      <c r="U31" s="2" t="s">
        <v>77</v>
      </c>
      <c r="V31" s="2" t="s">
        <v>390</v>
      </c>
      <c r="W31" s="2" t="s">
        <v>77</v>
      </c>
      <c r="X31" s="2" t="s">
        <v>391</v>
      </c>
      <c r="Y31" s="2" t="s">
        <v>84</v>
      </c>
      <c r="Z31" s="2" t="s">
        <v>392</v>
      </c>
      <c r="AA31" s="2" t="s">
        <v>77</v>
      </c>
      <c r="AB31" s="2" t="s">
        <v>393</v>
      </c>
      <c r="AC31" s="2" t="s">
        <v>77</v>
      </c>
      <c r="AD31" s="2" t="s">
        <v>394</v>
      </c>
      <c r="AE31" s="2" t="s">
        <v>77</v>
      </c>
      <c r="AF31" s="2" t="s">
        <v>395</v>
      </c>
      <c r="AG31" s="2" t="s">
        <v>84</v>
      </c>
      <c r="AH31" s="2" t="s">
        <v>396</v>
      </c>
      <c r="AI31" s="2" t="s">
        <v>77</v>
      </c>
    </row>
    <row r="32" spans="1:35">
      <c r="A32" s="1" t="s">
        <v>21</v>
      </c>
      <c r="B32" s="12" t="s">
        <v>397</v>
      </c>
      <c r="C32" s="12" t="s">
        <v>398</v>
      </c>
      <c r="D32" s="12" t="s">
        <v>399</v>
      </c>
      <c r="E32" s="12" t="s">
        <v>238</v>
      </c>
      <c r="F32" s="2" t="s">
        <v>400</v>
      </c>
      <c r="G32" s="2" t="s">
        <v>401</v>
      </c>
      <c r="H32" s="2" t="s">
        <v>89</v>
      </c>
      <c r="I32" s="2" t="s">
        <v>90</v>
      </c>
      <c r="J32" s="2" t="s">
        <v>402</v>
      </c>
      <c r="K32" s="2" t="s">
        <v>403</v>
      </c>
      <c r="L32" s="2" t="s">
        <v>404</v>
      </c>
      <c r="M32" s="2" t="s">
        <v>405</v>
      </c>
      <c r="N32" s="2" t="s">
        <v>406</v>
      </c>
      <c r="O32" s="2" t="s">
        <v>119</v>
      </c>
      <c r="P32" s="2" t="s">
        <v>407</v>
      </c>
      <c r="Q32" s="2" t="s">
        <v>408</v>
      </c>
      <c r="R32" s="2" t="s">
        <v>409</v>
      </c>
      <c r="S32" s="2" t="s">
        <v>119</v>
      </c>
      <c r="T32" s="2" t="s">
        <v>410</v>
      </c>
      <c r="U32" s="2" t="s">
        <v>408</v>
      </c>
      <c r="V32" s="2" t="s">
        <v>411</v>
      </c>
      <c r="W32" s="2" t="s">
        <v>412</v>
      </c>
      <c r="X32" s="2" t="s">
        <v>413</v>
      </c>
      <c r="Y32" s="2" t="s">
        <v>158</v>
      </c>
      <c r="Z32" s="2" t="s">
        <v>414</v>
      </c>
      <c r="AA32" s="2" t="s">
        <v>415</v>
      </c>
      <c r="AB32" s="2" t="s">
        <v>416</v>
      </c>
      <c r="AC32" s="2" t="s">
        <v>415</v>
      </c>
      <c r="AD32" s="2" t="s">
        <v>417</v>
      </c>
      <c r="AE32" s="2" t="s">
        <v>415</v>
      </c>
      <c r="AF32" s="2" t="s">
        <v>418</v>
      </c>
      <c r="AG32" s="2" t="s">
        <v>419</v>
      </c>
      <c r="AH32" s="2" t="s">
        <v>420</v>
      </c>
      <c r="AI32" s="2" t="s">
        <v>419</v>
      </c>
    </row>
    <row r="33" spans="1:35">
      <c r="A33" s="1" t="s">
        <v>28</v>
      </c>
      <c r="B33" s="12" t="s">
        <v>421</v>
      </c>
      <c r="C33" s="12" t="s">
        <v>77</v>
      </c>
      <c r="D33" s="12" t="s">
        <v>422</v>
      </c>
      <c r="E33" s="12" t="s">
        <v>77</v>
      </c>
      <c r="F33" s="2" t="s">
        <v>423</v>
      </c>
      <c r="G33" s="2" t="s">
        <v>84</v>
      </c>
      <c r="H33" s="2" t="s">
        <v>95</v>
      </c>
      <c r="I33" s="2" t="s">
        <v>77</v>
      </c>
      <c r="J33" s="2" t="s">
        <v>424</v>
      </c>
      <c r="K33" s="2" t="s">
        <v>77</v>
      </c>
      <c r="L33" s="2" t="s">
        <v>425</v>
      </c>
      <c r="M33" s="2" t="s">
        <v>77</v>
      </c>
      <c r="N33" s="2" t="s">
        <v>426</v>
      </c>
      <c r="O33" s="2" t="s">
        <v>84</v>
      </c>
      <c r="P33" s="2" t="s">
        <v>427</v>
      </c>
      <c r="Q33" s="2" t="s">
        <v>77</v>
      </c>
      <c r="R33" s="2" t="s">
        <v>428</v>
      </c>
      <c r="S33" s="2" t="s">
        <v>84</v>
      </c>
      <c r="T33" s="2" t="s">
        <v>429</v>
      </c>
      <c r="U33" s="2" t="s">
        <v>77</v>
      </c>
      <c r="V33" s="2" t="s">
        <v>430</v>
      </c>
      <c r="W33" s="2" t="s">
        <v>84</v>
      </c>
      <c r="X33" s="2" t="s">
        <v>431</v>
      </c>
      <c r="Y33" s="2" t="s">
        <v>84</v>
      </c>
      <c r="Z33" s="2" t="s">
        <v>432</v>
      </c>
      <c r="AA33" s="2" t="s">
        <v>84</v>
      </c>
      <c r="AB33" s="2" t="s">
        <v>433</v>
      </c>
      <c r="AC33" s="2" t="s">
        <v>84</v>
      </c>
      <c r="AD33" s="2" t="s">
        <v>434</v>
      </c>
      <c r="AE33" s="2" t="s">
        <v>84</v>
      </c>
      <c r="AF33" s="2" t="s">
        <v>435</v>
      </c>
      <c r="AG33" s="2" t="s">
        <v>94</v>
      </c>
      <c r="AH33" s="2" t="s">
        <v>436</v>
      </c>
      <c r="AI33" s="2" t="s">
        <v>84</v>
      </c>
    </row>
  </sheetData>
  <sheetProtection selectLockedCells="1" selectUnlockedCells="1"/>
  <mergeCells count="18">
    <mergeCell ref="J3:K3"/>
    <mergeCell ref="A1:E1"/>
    <mergeCell ref="B3:C3"/>
    <mergeCell ref="D3:E3"/>
    <mergeCell ref="F3:G3"/>
    <mergeCell ref="H3:I3"/>
    <mergeCell ref="AH3:AI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3.2"/>
  <cols>
    <col min="1" max="1" width="51.109375" style="4" customWidth="1"/>
    <col min="2" max="2" width="9.77734375" style="4" customWidth="1"/>
    <col min="3" max="3" width="7.6640625" style="4" customWidth="1"/>
    <col min="4" max="4" width="9.77734375" style="4" customWidth="1"/>
    <col min="5" max="5" width="7.6640625" style="4" customWidth="1"/>
    <col min="6" max="6" width="9.77734375" style="4" customWidth="1"/>
    <col min="7" max="7" width="7.6640625" style="4" customWidth="1"/>
    <col min="8" max="8" width="9.77734375" style="4" customWidth="1"/>
    <col min="9" max="9" width="7.6640625" style="4" customWidth="1"/>
    <col min="10" max="10" width="9.77734375" style="4" customWidth="1"/>
    <col min="11" max="11" width="7.6640625" style="4" customWidth="1"/>
    <col min="12" max="12" width="9.77734375" style="4" customWidth="1"/>
    <col min="13" max="13" width="7.6640625" style="4" customWidth="1"/>
    <col min="14" max="14" width="9.77734375" style="4" customWidth="1"/>
    <col min="15" max="15" width="7.6640625" style="4" customWidth="1"/>
    <col min="16" max="16" width="9.77734375" style="4" customWidth="1"/>
    <col min="17" max="17" width="7.6640625" style="4" customWidth="1"/>
    <col min="18" max="18" width="9.77734375" style="4" customWidth="1"/>
    <col min="19" max="19" width="7.6640625" style="4" customWidth="1"/>
    <col min="20" max="20" width="9.77734375" style="4" customWidth="1"/>
    <col min="21" max="21" width="7.6640625" style="4" customWidth="1"/>
    <col min="22" max="22" width="9.77734375" style="4" customWidth="1"/>
    <col min="23" max="23" width="7.6640625" style="4" customWidth="1"/>
    <col min="24" max="24" width="9.77734375" style="4" customWidth="1"/>
    <col min="25" max="25" width="7.6640625" style="4" customWidth="1"/>
    <col min="26" max="26" width="9.77734375" style="4" customWidth="1"/>
    <col min="27" max="27" width="7.6640625" style="4" customWidth="1"/>
    <col min="28" max="28" width="9.77734375" style="4" customWidth="1"/>
    <col min="29" max="29" width="7.6640625" style="4" customWidth="1"/>
    <col min="30" max="30" width="9.77734375" style="4" customWidth="1"/>
    <col min="31" max="31" width="7.6640625" style="4" customWidth="1"/>
    <col min="32" max="32" width="9.77734375" style="4" customWidth="1"/>
    <col min="33" max="33" width="7.6640625" style="4" customWidth="1"/>
    <col min="34" max="34" width="9.77734375" style="4" customWidth="1"/>
    <col min="35" max="35" width="7.6640625" style="4" customWidth="1"/>
    <col min="36" max="256" width="9.77734375" style="4" customWidth="1"/>
    <col min="257" max="16384" width="11.5546875" style="4"/>
  </cols>
  <sheetData>
    <row r="1" spans="1:52" s="14" customFormat="1">
      <c r="A1" s="42" t="s">
        <v>437</v>
      </c>
      <c r="B1" s="42"/>
      <c r="C1" s="42"/>
      <c r="D1" s="42"/>
      <c r="E1" s="42"/>
      <c r="F1" s="13"/>
      <c r="H1" s="13"/>
      <c r="J1" s="13"/>
      <c r="L1" s="13"/>
      <c r="N1" s="13"/>
      <c r="P1" s="13"/>
      <c r="R1" s="13"/>
      <c r="T1" s="13"/>
      <c r="V1" s="13"/>
      <c r="X1" s="13"/>
      <c r="Z1" s="13"/>
      <c r="AB1" s="13"/>
      <c r="AD1" s="13"/>
      <c r="AF1" s="13"/>
      <c r="AH1" s="13"/>
    </row>
    <row r="2" spans="1:52" s="14" customFormat="1">
      <c r="B2" s="13"/>
      <c r="D2" s="13"/>
      <c r="F2" s="13"/>
      <c r="H2" s="13"/>
      <c r="J2" s="13"/>
      <c r="L2" s="13"/>
      <c r="N2" s="13"/>
      <c r="P2" s="13"/>
      <c r="R2" s="13"/>
      <c r="T2" s="13"/>
      <c r="V2" s="13"/>
      <c r="X2" s="13"/>
      <c r="Z2" s="13"/>
      <c r="AB2" s="13"/>
      <c r="AD2" s="13"/>
      <c r="AF2" s="13"/>
      <c r="AH2" s="13"/>
    </row>
    <row r="3" spans="1:52" s="11" customFormat="1">
      <c r="B3" s="41" t="s">
        <v>164</v>
      </c>
      <c r="C3" s="41"/>
      <c r="D3" s="41" t="s">
        <v>165</v>
      </c>
      <c r="E3" s="41"/>
      <c r="F3" s="41" t="s">
        <v>166</v>
      </c>
      <c r="G3" s="41"/>
      <c r="H3" s="41" t="s">
        <v>167</v>
      </c>
      <c r="I3" s="41"/>
      <c r="J3" s="41" t="s">
        <v>168</v>
      </c>
      <c r="K3" s="41"/>
      <c r="L3" s="41" t="s">
        <v>169</v>
      </c>
      <c r="M3" s="41"/>
      <c r="N3" s="41" t="s">
        <v>170</v>
      </c>
      <c r="O3" s="41"/>
      <c r="P3" s="41" t="s">
        <v>171</v>
      </c>
      <c r="Q3" s="41"/>
      <c r="R3" s="41" t="s">
        <v>172</v>
      </c>
      <c r="S3" s="41"/>
      <c r="T3" s="41" t="s">
        <v>173</v>
      </c>
      <c r="U3" s="41"/>
      <c r="V3" s="41" t="s">
        <v>174</v>
      </c>
      <c r="W3" s="41"/>
      <c r="X3" s="41" t="s">
        <v>175</v>
      </c>
      <c r="Y3" s="41"/>
      <c r="Z3" s="41" t="s">
        <v>176</v>
      </c>
      <c r="AA3" s="41"/>
      <c r="AB3" s="41" t="s">
        <v>177</v>
      </c>
      <c r="AC3" s="41"/>
      <c r="AD3" s="41" t="s">
        <v>178</v>
      </c>
      <c r="AE3" s="41"/>
      <c r="AF3" s="41" t="s">
        <v>179</v>
      </c>
      <c r="AG3" s="41"/>
      <c r="AH3" s="41" t="s">
        <v>180</v>
      </c>
      <c r="AI3" s="41"/>
    </row>
    <row r="4" spans="1:52" s="2" customFormat="1">
      <c r="A4" s="1" t="s">
        <v>4</v>
      </c>
      <c r="B4" s="2">
        <v>7159</v>
      </c>
      <c r="D4" s="2">
        <v>7155</v>
      </c>
      <c r="F4" s="2">
        <v>7178</v>
      </c>
      <c r="H4" s="2">
        <v>7083</v>
      </c>
      <c r="J4" s="2">
        <v>7134</v>
      </c>
      <c r="L4" s="2">
        <v>7111</v>
      </c>
      <c r="N4" s="2">
        <v>6981</v>
      </c>
      <c r="P4" s="2">
        <v>6948</v>
      </c>
      <c r="R4" s="2">
        <v>6989</v>
      </c>
      <c r="T4" s="2">
        <v>6957</v>
      </c>
      <c r="V4" s="2">
        <v>6962</v>
      </c>
      <c r="X4" s="2">
        <v>7024</v>
      </c>
      <c r="Z4" s="2">
        <v>7048</v>
      </c>
      <c r="AB4" s="2">
        <v>7039</v>
      </c>
      <c r="AD4" s="2">
        <v>7031</v>
      </c>
      <c r="AF4" s="2">
        <v>7043</v>
      </c>
      <c r="AH4" s="2">
        <v>7034</v>
      </c>
      <c r="AJ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s="2" customFormat="1">
      <c r="A5" s="1" t="s">
        <v>5</v>
      </c>
      <c r="B5" s="2">
        <v>38102</v>
      </c>
      <c r="D5" s="2">
        <v>38059</v>
      </c>
      <c r="F5" s="2">
        <v>38371</v>
      </c>
      <c r="H5" s="2">
        <v>39473</v>
      </c>
      <c r="J5" s="2">
        <v>37298</v>
      </c>
      <c r="L5" s="2">
        <v>37549</v>
      </c>
      <c r="N5" s="2">
        <v>38920</v>
      </c>
      <c r="P5" s="2">
        <v>38836</v>
      </c>
      <c r="R5" s="2">
        <v>38962</v>
      </c>
      <c r="T5" s="2">
        <v>38802</v>
      </c>
      <c r="V5" s="2">
        <v>38949</v>
      </c>
      <c r="X5" s="2">
        <v>39205</v>
      </c>
      <c r="Z5" s="2">
        <v>39332</v>
      </c>
      <c r="AB5" s="2">
        <v>39380</v>
      </c>
      <c r="AD5" s="2">
        <v>39374</v>
      </c>
      <c r="AF5" s="2">
        <v>39525</v>
      </c>
      <c r="AH5" s="2">
        <v>39365</v>
      </c>
      <c r="AJ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s="2" customFormat="1">
      <c r="A6" s="1" t="s">
        <v>6</v>
      </c>
      <c r="B6" s="2">
        <v>30850</v>
      </c>
      <c r="D6" s="2">
        <v>30811</v>
      </c>
      <c r="F6" s="2">
        <v>31074</v>
      </c>
      <c r="H6" s="2">
        <v>32243</v>
      </c>
      <c r="J6" s="2">
        <v>30087</v>
      </c>
      <c r="L6" s="2">
        <v>30375</v>
      </c>
      <c r="N6" s="2">
        <v>31828</v>
      </c>
      <c r="P6" s="2">
        <v>31769</v>
      </c>
      <c r="R6" s="2">
        <v>31845</v>
      </c>
      <c r="T6" s="2">
        <v>31719</v>
      </c>
      <c r="V6" s="2">
        <v>31879</v>
      </c>
      <c r="X6" s="2">
        <v>32052</v>
      </c>
      <c r="Z6" s="2">
        <v>32153</v>
      </c>
      <c r="AB6" s="2">
        <v>32202</v>
      </c>
      <c r="AD6" s="2">
        <v>32196</v>
      </c>
      <c r="AF6" s="2">
        <v>32297</v>
      </c>
      <c r="AH6" s="2">
        <v>32193</v>
      </c>
      <c r="AJ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s="2" customFormat="1">
      <c r="A7" s="1"/>
      <c r="AJ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s="2" customFormat="1">
      <c r="A8" s="1" t="s">
        <v>7</v>
      </c>
      <c r="B8" s="2" t="s">
        <v>438</v>
      </c>
      <c r="C8" s="2" t="s">
        <v>182</v>
      </c>
      <c r="D8" s="2" t="s">
        <v>439</v>
      </c>
      <c r="E8" s="2" t="s">
        <v>184</v>
      </c>
      <c r="F8" s="2" t="s">
        <v>440</v>
      </c>
      <c r="G8" s="2" t="s">
        <v>111</v>
      </c>
      <c r="H8" s="2" t="s">
        <v>100</v>
      </c>
      <c r="I8" s="2" t="s">
        <v>101</v>
      </c>
      <c r="J8" s="2" t="s">
        <v>441</v>
      </c>
      <c r="K8" s="2" t="s">
        <v>442</v>
      </c>
      <c r="L8" s="2" t="s">
        <v>443</v>
      </c>
      <c r="M8" s="2" t="s">
        <v>444</v>
      </c>
      <c r="N8" s="2" t="s">
        <v>445</v>
      </c>
      <c r="O8" s="2" t="s">
        <v>446</v>
      </c>
      <c r="P8" s="2" t="s">
        <v>447</v>
      </c>
      <c r="Q8" s="2" t="s">
        <v>191</v>
      </c>
      <c r="R8" s="2" t="s">
        <v>448</v>
      </c>
      <c r="S8" s="2" t="s">
        <v>195</v>
      </c>
      <c r="T8" s="2" t="s">
        <v>449</v>
      </c>
      <c r="U8" s="2" t="s">
        <v>249</v>
      </c>
      <c r="V8" s="2" t="s">
        <v>450</v>
      </c>
      <c r="W8" s="2" t="s">
        <v>451</v>
      </c>
      <c r="X8" s="2" t="s">
        <v>452</v>
      </c>
      <c r="Y8" s="2" t="s">
        <v>453</v>
      </c>
      <c r="Z8" s="2" t="s">
        <v>454</v>
      </c>
      <c r="AA8" s="2" t="s">
        <v>455</v>
      </c>
      <c r="AB8" s="2" t="s">
        <v>456</v>
      </c>
      <c r="AC8" s="2" t="s">
        <v>119</v>
      </c>
      <c r="AD8" s="2" t="s">
        <v>457</v>
      </c>
      <c r="AE8" s="2" t="s">
        <v>119</v>
      </c>
      <c r="AF8" s="2" t="s">
        <v>458</v>
      </c>
      <c r="AG8" s="2" t="s">
        <v>90</v>
      </c>
      <c r="AH8" s="2" t="s">
        <v>459</v>
      </c>
      <c r="AI8" s="2" t="s">
        <v>119</v>
      </c>
      <c r="AJ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s="2" customFormat="1">
      <c r="A9" s="1" t="s">
        <v>14</v>
      </c>
      <c r="B9" s="2" t="s">
        <v>460</v>
      </c>
      <c r="C9" s="2" t="s">
        <v>107</v>
      </c>
      <c r="D9" s="2" t="s">
        <v>461</v>
      </c>
      <c r="E9" s="2" t="s">
        <v>107</v>
      </c>
      <c r="F9" s="2" t="s">
        <v>462</v>
      </c>
      <c r="G9" s="2" t="s">
        <v>107</v>
      </c>
      <c r="H9" s="2" t="s">
        <v>106</v>
      </c>
      <c r="I9" s="2" t="s">
        <v>107</v>
      </c>
      <c r="J9" s="2" t="s">
        <v>463</v>
      </c>
      <c r="K9" s="2" t="s">
        <v>225</v>
      </c>
      <c r="L9" s="2" t="s">
        <v>464</v>
      </c>
      <c r="M9" s="2" t="s">
        <v>107</v>
      </c>
      <c r="N9" s="2" t="s">
        <v>465</v>
      </c>
      <c r="O9" s="2" t="s">
        <v>225</v>
      </c>
      <c r="P9" s="2" t="s">
        <v>466</v>
      </c>
      <c r="Q9" s="2" t="s">
        <v>225</v>
      </c>
      <c r="R9" s="2" t="s">
        <v>467</v>
      </c>
      <c r="S9" s="2" t="s">
        <v>225</v>
      </c>
      <c r="T9" s="2" t="s">
        <v>468</v>
      </c>
      <c r="U9" s="2" t="s">
        <v>105</v>
      </c>
      <c r="V9" s="2" t="s">
        <v>469</v>
      </c>
      <c r="W9" s="2" t="s">
        <v>105</v>
      </c>
      <c r="X9" s="2" t="s">
        <v>470</v>
      </c>
      <c r="Y9" s="2" t="s">
        <v>225</v>
      </c>
      <c r="Z9" s="2" t="s">
        <v>471</v>
      </c>
      <c r="AA9" s="2" t="s">
        <v>107</v>
      </c>
      <c r="AB9" s="2" t="s">
        <v>472</v>
      </c>
      <c r="AC9" s="2" t="s">
        <v>107</v>
      </c>
      <c r="AD9" s="2" t="s">
        <v>473</v>
      </c>
      <c r="AE9" s="2" t="s">
        <v>107</v>
      </c>
      <c r="AF9" s="2" t="s">
        <v>474</v>
      </c>
      <c r="AG9" s="2" t="s">
        <v>107</v>
      </c>
      <c r="AH9" s="2" t="s">
        <v>475</v>
      </c>
      <c r="AI9" s="2" t="s">
        <v>107</v>
      </c>
      <c r="AJ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s="2" customFormat="1">
      <c r="A10" s="1" t="s">
        <v>21</v>
      </c>
      <c r="B10" s="2" t="s">
        <v>476</v>
      </c>
      <c r="C10" s="2" t="s">
        <v>477</v>
      </c>
      <c r="D10" s="2" t="s">
        <v>478</v>
      </c>
      <c r="E10" s="2" t="s">
        <v>479</v>
      </c>
      <c r="F10" s="2" t="s">
        <v>480</v>
      </c>
      <c r="G10" s="2" t="s">
        <v>160</v>
      </c>
      <c r="H10" s="2" t="s">
        <v>110</v>
      </c>
      <c r="I10" s="2" t="s">
        <v>111</v>
      </c>
      <c r="J10" s="2" t="s">
        <v>481</v>
      </c>
      <c r="K10" s="2" t="s">
        <v>482</v>
      </c>
      <c r="L10" s="2" t="s">
        <v>483</v>
      </c>
      <c r="M10" s="2" t="s">
        <v>484</v>
      </c>
      <c r="N10" s="2" t="s">
        <v>485</v>
      </c>
      <c r="O10" s="2" t="s">
        <v>189</v>
      </c>
      <c r="P10" s="2" t="s">
        <v>486</v>
      </c>
      <c r="Q10" s="2" t="s">
        <v>187</v>
      </c>
      <c r="R10" s="2" t="s">
        <v>487</v>
      </c>
      <c r="S10" s="2" t="s">
        <v>488</v>
      </c>
      <c r="T10" s="2" t="s">
        <v>489</v>
      </c>
      <c r="U10" s="2" t="s">
        <v>187</v>
      </c>
      <c r="V10" s="2" t="s">
        <v>490</v>
      </c>
      <c r="W10" s="2" t="s">
        <v>491</v>
      </c>
      <c r="X10" s="2" t="s">
        <v>492</v>
      </c>
      <c r="Y10" s="2" t="s">
        <v>493</v>
      </c>
      <c r="Z10" s="2" t="s">
        <v>494</v>
      </c>
      <c r="AA10" s="2" t="s">
        <v>37</v>
      </c>
      <c r="AB10" s="2" t="s">
        <v>495</v>
      </c>
      <c r="AC10" s="2" t="s">
        <v>496</v>
      </c>
      <c r="AD10" s="2" t="s">
        <v>497</v>
      </c>
      <c r="AE10" s="2" t="s">
        <v>496</v>
      </c>
      <c r="AF10" s="2" t="s">
        <v>498</v>
      </c>
      <c r="AG10" s="2" t="s">
        <v>111</v>
      </c>
      <c r="AH10" s="2" t="s">
        <v>499</v>
      </c>
      <c r="AI10" s="2" t="s">
        <v>496</v>
      </c>
      <c r="AJ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s="2" customFormat="1">
      <c r="A11" s="1" t="s">
        <v>28</v>
      </c>
      <c r="B11" s="2" t="s">
        <v>500</v>
      </c>
      <c r="C11" s="2" t="s">
        <v>115</v>
      </c>
      <c r="D11" s="2" t="s">
        <v>501</v>
      </c>
      <c r="E11" s="2" t="s">
        <v>115</v>
      </c>
      <c r="F11" s="2" t="s">
        <v>502</v>
      </c>
      <c r="G11" s="2" t="s">
        <v>115</v>
      </c>
      <c r="H11" s="2" t="s">
        <v>116</v>
      </c>
      <c r="I11" s="2" t="s">
        <v>115</v>
      </c>
      <c r="J11" s="2" t="s">
        <v>503</v>
      </c>
      <c r="K11" s="2" t="s">
        <v>268</v>
      </c>
      <c r="L11" s="2" t="s">
        <v>504</v>
      </c>
      <c r="M11" s="2" t="s">
        <v>268</v>
      </c>
      <c r="N11" s="2" t="s">
        <v>505</v>
      </c>
      <c r="O11" s="2" t="s">
        <v>115</v>
      </c>
      <c r="P11" s="2" t="s">
        <v>506</v>
      </c>
      <c r="Q11" s="2" t="s">
        <v>268</v>
      </c>
      <c r="R11" s="2" t="s">
        <v>507</v>
      </c>
      <c r="S11" s="2" t="s">
        <v>268</v>
      </c>
      <c r="T11" s="2" t="s">
        <v>508</v>
      </c>
      <c r="U11" s="2" t="s">
        <v>263</v>
      </c>
      <c r="V11" s="2" t="s">
        <v>509</v>
      </c>
      <c r="W11" s="2" t="s">
        <v>268</v>
      </c>
      <c r="X11" s="2" t="s">
        <v>510</v>
      </c>
      <c r="Y11" s="2" t="s">
        <v>268</v>
      </c>
      <c r="Z11" s="2" t="s">
        <v>511</v>
      </c>
      <c r="AA11" s="2" t="s">
        <v>268</v>
      </c>
      <c r="AB11" s="2" t="s">
        <v>512</v>
      </c>
      <c r="AC11" s="2" t="s">
        <v>115</v>
      </c>
      <c r="AD11" s="2" t="s">
        <v>513</v>
      </c>
      <c r="AE11" s="2" t="s">
        <v>115</v>
      </c>
      <c r="AF11" s="2" t="s">
        <v>514</v>
      </c>
      <c r="AG11" s="2" t="s">
        <v>515</v>
      </c>
      <c r="AH11" s="2" t="s">
        <v>516</v>
      </c>
      <c r="AI11" s="2" t="s">
        <v>115</v>
      </c>
      <c r="AJ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s="2" customFormat="1">
      <c r="A12" s="1" t="s">
        <v>34</v>
      </c>
      <c r="B12" s="2" t="s">
        <v>517</v>
      </c>
      <c r="C12" s="2" t="s">
        <v>518</v>
      </c>
      <c r="D12" s="2" t="s">
        <v>519</v>
      </c>
      <c r="E12" s="2" t="s">
        <v>518</v>
      </c>
      <c r="F12" s="2" t="s">
        <v>520</v>
      </c>
      <c r="G12" s="2" t="s">
        <v>46</v>
      </c>
      <c r="H12" s="2" t="s">
        <v>120</v>
      </c>
      <c r="I12" s="2" t="s">
        <v>121</v>
      </c>
      <c r="J12" s="2" t="s">
        <v>521</v>
      </c>
      <c r="K12" s="2" t="s">
        <v>308</v>
      </c>
      <c r="L12" s="2" t="s">
        <v>522</v>
      </c>
      <c r="M12" s="2" t="s">
        <v>282</v>
      </c>
      <c r="N12" s="2" t="s">
        <v>523</v>
      </c>
      <c r="O12" s="2" t="s">
        <v>271</v>
      </c>
      <c r="P12" s="2" t="s">
        <v>524</v>
      </c>
      <c r="Q12" s="2" t="s">
        <v>125</v>
      </c>
      <c r="R12" s="2" t="s">
        <v>525</v>
      </c>
      <c r="S12" s="2" t="s">
        <v>526</v>
      </c>
      <c r="T12" s="2" t="s">
        <v>527</v>
      </c>
      <c r="U12" s="2" t="s">
        <v>125</v>
      </c>
      <c r="V12" s="2" t="s">
        <v>517</v>
      </c>
      <c r="W12" s="2" t="s">
        <v>518</v>
      </c>
      <c r="X12" s="2" t="s">
        <v>528</v>
      </c>
      <c r="Y12" s="2" t="s">
        <v>526</v>
      </c>
      <c r="Z12" s="2" t="s">
        <v>529</v>
      </c>
      <c r="AA12" s="2" t="s">
        <v>274</v>
      </c>
      <c r="AB12" s="2" t="s">
        <v>530</v>
      </c>
      <c r="AC12" s="2" t="s">
        <v>121</v>
      </c>
      <c r="AD12" s="2" t="s">
        <v>530</v>
      </c>
      <c r="AE12" s="2" t="s">
        <v>121</v>
      </c>
      <c r="AF12" s="2" t="s">
        <v>531</v>
      </c>
      <c r="AG12" s="2" t="s">
        <v>532</v>
      </c>
      <c r="AH12" s="2" t="s">
        <v>530</v>
      </c>
      <c r="AI12" s="2" t="s">
        <v>121</v>
      </c>
      <c r="AJ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s="2" customFormat="1">
      <c r="A13" s="1" t="s">
        <v>40</v>
      </c>
      <c r="B13" s="2" t="s">
        <v>533</v>
      </c>
      <c r="C13" s="2" t="s">
        <v>39</v>
      </c>
      <c r="D13" s="2" t="s">
        <v>534</v>
      </c>
      <c r="E13" s="2" t="s">
        <v>82</v>
      </c>
      <c r="F13" s="2" t="s">
        <v>535</v>
      </c>
      <c r="G13" s="2" t="s">
        <v>39</v>
      </c>
      <c r="H13" s="2" t="s">
        <v>126</v>
      </c>
      <c r="I13" s="2" t="s">
        <v>127</v>
      </c>
      <c r="J13" s="2" t="s">
        <v>536</v>
      </c>
      <c r="K13" s="2" t="s">
        <v>537</v>
      </c>
      <c r="L13" s="2" t="s">
        <v>538</v>
      </c>
      <c r="M13" s="2" t="s">
        <v>82</v>
      </c>
      <c r="N13" s="2" t="s">
        <v>539</v>
      </c>
      <c r="O13" s="2" t="s">
        <v>39</v>
      </c>
      <c r="P13" s="2" t="s">
        <v>540</v>
      </c>
      <c r="Q13" s="2" t="s">
        <v>308</v>
      </c>
      <c r="R13" s="2" t="s">
        <v>541</v>
      </c>
      <c r="S13" s="2" t="s">
        <v>39</v>
      </c>
      <c r="T13" s="2" t="s">
        <v>542</v>
      </c>
      <c r="U13" s="2" t="s">
        <v>308</v>
      </c>
      <c r="V13" s="2" t="s">
        <v>543</v>
      </c>
      <c r="W13" s="2" t="s">
        <v>308</v>
      </c>
      <c r="X13" s="2" t="s">
        <v>544</v>
      </c>
      <c r="Y13" s="2" t="s">
        <v>371</v>
      </c>
      <c r="Z13" s="2" t="s">
        <v>545</v>
      </c>
      <c r="AA13" s="2" t="s">
        <v>546</v>
      </c>
      <c r="AB13" s="2" t="s">
        <v>547</v>
      </c>
      <c r="AC13" s="2" t="s">
        <v>546</v>
      </c>
      <c r="AD13" s="2" t="s">
        <v>548</v>
      </c>
      <c r="AE13" s="2" t="s">
        <v>127</v>
      </c>
      <c r="AF13" s="2" t="s">
        <v>549</v>
      </c>
      <c r="AG13" s="2" t="s">
        <v>546</v>
      </c>
      <c r="AH13" s="2" t="s">
        <v>550</v>
      </c>
      <c r="AI13" s="2" t="s">
        <v>546</v>
      </c>
      <c r="AJ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s="2" customFormat="1">
      <c r="A14" s="1"/>
      <c r="AJ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s="2" customFormat="1">
      <c r="A15" s="1" t="s">
        <v>47</v>
      </c>
      <c r="B15" s="2">
        <v>4046</v>
      </c>
      <c r="D15" s="2">
        <v>4035</v>
      </c>
      <c r="F15" s="2">
        <v>4122</v>
      </c>
      <c r="H15" s="2">
        <v>4616</v>
      </c>
      <c r="J15" s="2">
        <v>3834</v>
      </c>
      <c r="L15" s="2">
        <v>3939</v>
      </c>
      <c r="N15" s="2">
        <v>4401</v>
      </c>
      <c r="P15" s="2">
        <v>4399</v>
      </c>
      <c r="R15" s="2">
        <v>4415</v>
      </c>
      <c r="T15" s="2">
        <v>4414</v>
      </c>
      <c r="V15" s="2">
        <v>4442</v>
      </c>
      <c r="X15" s="2">
        <v>4492</v>
      </c>
      <c r="Z15" s="2">
        <v>4514</v>
      </c>
      <c r="AB15" s="2">
        <v>4512</v>
      </c>
      <c r="AD15" s="2">
        <v>4511</v>
      </c>
      <c r="AF15" s="2">
        <v>4523</v>
      </c>
      <c r="AH15" s="2">
        <v>4516</v>
      </c>
      <c r="AJ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s="2" customFormat="1">
      <c r="A16" s="1" t="s">
        <v>48</v>
      </c>
      <c r="B16" s="2" t="s">
        <v>551</v>
      </c>
      <c r="C16" s="10" t="s">
        <v>552</v>
      </c>
      <c r="D16" s="2" t="s">
        <v>553</v>
      </c>
      <c r="E16" s="10" t="s">
        <v>554</v>
      </c>
      <c r="F16" s="2" t="s">
        <v>555</v>
      </c>
      <c r="G16" s="10" t="s">
        <v>556</v>
      </c>
      <c r="H16" s="2" t="s">
        <v>132</v>
      </c>
      <c r="I16" s="10" t="s">
        <v>57</v>
      </c>
      <c r="J16" s="2" t="s">
        <v>557</v>
      </c>
      <c r="K16" s="10" t="s">
        <v>558</v>
      </c>
      <c r="L16" s="2" t="s">
        <v>559</v>
      </c>
      <c r="M16" s="10" t="s">
        <v>560</v>
      </c>
      <c r="N16" s="2" t="s">
        <v>561</v>
      </c>
      <c r="O16" s="10">
        <v>0.63</v>
      </c>
      <c r="P16" s="2" t="s">
        <v>562</v>
      </c>
      <c r="Q16" s="10" t="s">
        <v>315</v>
      </c>
      <c r="R16" s="2" t="s">
        <v>563</v>
      </c>
      <c r="S16" s="10" t="s">
        <v>564</v>
      </c>
      <c r="T16" s="2" t="s">
        <v>565</v>
      </c>
      <c r="U16" s="10" t="s">
        <v>316</v>
      </c>
      <c r="V16" s="2" t="s">
        <v>566</v>
      </c>
      <c r="W16" s="10" t="s">
        <v>317</v>
      </c>
      <c r="X16" s="2" t="s">
        <v>567</v>
      </c>
      <c r="Y16" s="10">
        <v>0.64</v>
      </c>
      <c r="Z16" s="2" t="s">
        <v>568</v>
      </c>
      <c r="AA16" s="10">
        <v>0.64</v>
      </c>
      <c r="AB16" s="2" t="s">
        <v>569</v>
      </c>
      <c r="AC16" s="10" t="s">
        <v>338</v>
      </c>
      <c r="AD16" s="2" t="s">
        <v>570</v>
      </c>
      <c r="AE16" s="10" t="s">
        <v>571</v>
      </c>
      <c r="AF16" s="2" t="s">
        <v>572</v>
      </c>
      <c r="AG16" s="10" t="s">
        <v>571</v>
      </c>
      <c r="AH16" s="2" t="s">
        <v>573</v>
      </c>
      <c r="AI16" s="10" t="s">
        <v>571</v>
      </c>
      <c r="AJ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s="2" customFormat="1">
      <c r="A17" s="1" t="s">
        <v>574</v>
      </c>
      <c r="B17" s="2" t="s">
        <v>575</v>
      </c>
      <c r="C17" s="10" t="s">
        <v>576</v>
      </c>
      <c r="D17" s="2" t="s">
        <v>577</v>
      </c>
      <c r="E17" s="10" t="s">
        <v>578</v>
      </c>
      <c r="F17" s="2" t="s">
        <v>579</v>
      </c>
      <c r="G17" s="10" t="s">
        <v>580</v>
      </c>
      <c r="H17" s="2" t="s">
        <v>137</v>
      </c>
      <c r="I17" s="10" t="s">
        <v>138</v>
      </c>
      <c r="J17" s="2" t="s">
        <v>581</v>
      </c>
      <c r="K17" s="10" t="s">
        <v>326</v>
      </c>
      <c r="L17" s="2" t="s">
        <v>582</v>
      </c>
      <c r="M17" s="10" t="s">
        <v>583</v>
      </c>
      <c r="N17" s="2" t="s">
        <v>584</v>
      </c>
      <c r="O17" s="10" t="s">
        <v>322</v>
      </c>
      <c r="P17" s="2" t="s">
        <v>585</v>
      </c>
      <c r="Q17" s="10" t="s">
        <v>322</v>
      </c>
      <c r="R17" s="2" t="s">
        <v>586</v>
      </c>
      <c r="S17" s="10" t="s">
        <v>61</v>
      </c>
      <c r="T17" s="2" t="s">
        <v>587</v>
      </c>
      <c r="U17" s="10" t="s">
        <v>61</v>
      </c>
      <c r="V17" s="2" t="s">
        <v>588</v>
      </c>
      <c r="W17" s="10" t="s">
        <v>589</v>
      </c>
      <c r="X17" s="2" t="s">
        <v>590</v>
      </c>
      <c r="Y17" s="10" t="s">
        <v>591</v>
      </c>
      <c r="Z17" s="2" t="s">
        <v>592</v>
      </c>
      <c r="AA17" s="10">
        <v>0.68</v>
      </c>
      <c r="AB17" s="2" t="s">
        <v>593</v>
      </c>
      <c r="AC17" s="10">
        <v>0.68</v>
      </c>
      <c r="AD17" s="2" t="s">
        <v>594</v>
      </c>
      <c r="AE17" s="10" t="s">
        <v>595</v>
      </c>
      <c r="AF17" s="2" t="s">
        <v>596</v>
      </c>
      <c r="AG17" s="10" t="s">
        <v>597</v>
      </c>
      <c r="AH17" s="2" t="s">
        <v>598</v>
      </c>
      <c r="AI17" s="10">
        <v>0.68</v>
      </c>
      <c r="AJ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s="2" customFormat="1">
      <c r="A18" s="1" t="s">
        <v>599</v>
      </c>
      <c r="B18" s="2" t="s">
        <v>600</v>
      </c>
      <c r="C18" s="10" t="s">
        <v>601</v>
      </c>
      <c r="D18" s="2" t="s">
        <v>602</v>
      </c>
      <c r="E18" s="10" t="s">
        <v>603</v>
      </c>
      <c r="F18" s="2" t="s">
        <v>604</v>
      </c>
      <c r="G18" s="10" t="s">
        <v>605</v>
      </c>
      <c r="H18" s="2" t="s">
        <v>143</v>
      </c>
      <c r="I18" s="10" t="s">
        <v>144</v>
      </c>
      <c r="J18" s="2" t="s">
        <v>606</v>
      </c>
      <c r="K18" s="10" t="s">
        <v>607</v>
      </c>
      <c r="L18" s="2" t="s">
        <v>608</v>
      </c>
      <c r="M18" s="10">
        <v>0.63</v>
      </c>
      <c r="N18" s="2" t="s">
        <v>609</v>
      </c>
      <c r="O18" s="10" t="s">
        <v>610</v>
      </c>
      <c r="P18" s="2" t="s">
        <v>611</v>
      </c>
      <c r="Q18" s="10" t="s">
        <v>612</v>
      </c>
      <c r="R18" s="2" t="s">
        <v>613</v>
      </c>
      <c r="S18" s="10" t="s">
        <v>614</v>
      </c>
      <c r="T18" s="2" t="s">
        <v>615</v>
      </c>
      <c r="U18" s="10" t="s">
        <v>616</v>
      </c>
      <c r="V18" s="2" t="s">
        <v>617</v>
      </c>
      <c r="W18" s="10" t="s">
        <v>333</v>
      </c>
      <c r="X18" s="2" t="s">
        <v>618</v>
      </c>
      <c r="Y18" s="10" t="s">
        <v>619</v>
      </c>
      <c r="Z18" s="2" t="s">
        <v>620</v>
      </c>
      <c r="AA18" s="10" t="s">
        <v>351</v>
      </c>
      <c r="AB18" s="2" t="s">
        <v>621</v>
      </c>
      <c r="AC18" s="10" t="s">
        <v>622</v>
      </c>
      <c r="AD18" s="2" t="s">
        <v>623</v>
      </c>
      <c r="AE18" s="10" t="s">
        <v>622</v>
      </c>
      <c r="AF18" s="2" t="s">
        <v>624</v>
      </c>
      <c r="AG18" s="10" t="s">
        <v>351</v>
      </c>
      <c r="AH18" s="2" t="s">
        <v>625</v>
      </c>
      <c r="AI18" s="10" t="s">
        <v>351</v>
      </c>
      <c r="AJ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s="2" customFormat="1">
      <c r="A19" s="1"/>
      <c r="AJ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s="2" customFormat="1">
      <c r="A20" s="1"/>
      <c r="AJ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s="2" customFormat="1">
      <c r="A21" s="1" t="s">
        <v>69</v>
      </c>
      <c r="AJ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s="2" customFormat="1">
      <c r="A22" s="1"/>
      <c r="AJ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s="2" customFormat="1">
      <c r="A23" s="1" t="s">
        <v>70</v>
      </c>
      <c r="B23" s="2">
        <v>6690</v>
      </c>
      <c r="D23" s="2">
        <v>6688</v>
      </c>
      <c r="F23" s="2">
        <v>6704</v>
      </c>
      <c r="H23" s="2">
        <v>6597</v>
      </c>
      <c r="J23" s="2">
        <v>6684</v>
      </c>
      <c r="L23" s="2">
        <v>6648</v>
      </c>
      <c r="N23" s="2">
        <v>6518</v>
      </c>
      <c r="P23" s="2">
        <v>6502</v>
      </c>
      <c r="R23" s="2">
        <v>6529</v>
      </c>
      <c r="T23" s="2">
        <v>6509</v>
      </c>
      <c r="V23" s="2">
        <v>6513</v>
      </c>
      <c r="X23" s="2">
        <v>6543</v>
      </c>
      <c r="Z23" s="2">
        <v>6552</v>
      </c>
      <c r="AB23" s="2">
        <v>6544</v>
      </c>
      <c r="AD23" s="2">
        <v>6544</v>
      </c>
      <c r="AF23" s="2">
        <v>6553</v>
      </c>
      <c r="AH23" s="2">
        <v>6543</v>
      </c>
      <c r="AJ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s="2" customFormat="1">
      <c r="A24" s="1" t="s">
        <v>71</v>
      </c>
      <c r="B24" s="2">
        <v>6279</v>
      </c>
      <c r="D24" s="2">
        <v>6278</v>
      </c>
      <c r="F24" s="2">
        <v>6306</v>
      </c>
      <c r="H24" s="2">
        <v>6321</v>
      </c>
      <c r="J24" s="2">
        <v>6215</v>
      </c>
      <c r="L24" s="2">
        <v>6253</v>
      </c>
      <c r="N24" s="2">
        <v>6285</v>
      </c>
      <c r="P24" s="2">
        <v>6273</v>
      </c>
      <c r="R24" s="2">
        <v>6291</v>
      </c>
      <c r="T24" s="2">
        <v>6276</v>
      </c>
      <c r="V24" s="2">
        <v>6279</v>
      </c>
      <c r="X24" s="2">
        <v>6297</v>
      </c>
      <c r="Z24" s="2">
        <v>6316</v>
      </c>
      <c r="AB24" s="2">
        <v>6318</v>
      </c>
      <c r="AD24" s="2">
        <v>6318</v>
      </c>
      <c r="AF24" s="2">
        <v>6330</v>
      </c>
      <c r="AH24" s="2">
        <v>6318</v>
      </c>
      <c r="AJ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s="2" customFormat="1">
      <c r="A25" s="1" t="s">
        <v>72</v>
      </c>
      <c r="B25" s="2">
        <v>37305</v>
      </c>
      <c r="D25" s="2">
        <v>37263</v>
      </c>
      <c r="F25" s="2">
        <v>37555</v>
      </c>
      <c r="H25" s="2">
        <v>38634</v>
      </c>
      <c r="J25" s="2">
        <v>36551</v>
      </c>
      <c r="L25" s="2">
        <v>36788</v>
      </c>
      <c r="N25" s="2">
        <v>38138</v>
      </c>
      <c r="P25" s="2">
        <v>38081</v>
      </c>
      <c r="R25" s="2">
        <v>38196</v>
      </c>
      <c r="T25" s="2">
        <v>38065</v>
      </c>
      <c r="V25" s="2">
        <v>38199</v>
      </c>
      <c r="X25" s="2">
        <v>38405</v>
      </c>
      <c r="Z25" s="2">
        <v>38513</v>
      </c>
      <c r="AB25" s="2">
        <v>38558</v>
      </c>
      <c r="AD25" s="2">
        <v>38557</v>
      </c>
      <c r="AF25" s="2">
        <v>38699</v>
      </c>
      <c r="AH25" s="2">
        <v>38538</v>
      </c>
      <c r="AJ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s="2" customFormat="1">
      <c r="A26" s="1" t="s">
        <v>73</v>
      </c>
      <c r="B26" s="2">
        <v>30525</v>
      </c>
      <c r="D26" s="2">
        <v>30484</v>
      </c>
      <c r="F26" s="2">
        <v>30735</v>
      </c>
      <c r="H26" s="2">
        <v>31891</v>
      </c>
      <c r="J26" s="2">
        <v>29790</v>
      </c>
      <c r="L26" s="2">
        <v>30077</v>
      </c>
      <c r="N26" s="2">
        <v>31509</v>
      </c>
      <c r="P26" s="2">
        <v>31460</v>
      </c>
      <c r="R26" s="2">
        <v>31539</v>
      </c>
      <c r="T26" s="2">
        <v>31430</v>
      </c>
      <c r="V26" s="2">
        <v>31578</v>
      </c>
      <c r="X26" s="2">
        <v>31733</v>
      </c>
      <c r="Z26" s="2">
        <v>31830</v>
      </c>
      <c r="AB26" s="2">
        <v>31875</v>
      </c>
      <c r="AD26" s="2">
        <v>31867</v>
      </c>
      <c r="AF26" s="2">
        <v>31964</v>
      </c>
      <c r="AH26" s="2">
        <v>31857</v>
      </c>
      <c r="AJ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s="2" customFormat="1">
      <c r="A27" s="1" t="s">
        <v>74</v>
      </c>
      <c r="B27" s="2">
        <v>40915</v>
      </c>
      <c r="D27" s="2">
        <v>40903</v>
      </c>
      <c r="F27" s="2">
        <v>41035</v>
      </c>
      <c r="H27" s="2">
        <v>41179</v>
      </c>
      <c r="J27" s="2">
        <v>40512</v>
      </c>
      <c r="L27" s="2">
        <v>40681</v>
      </c>
      <c r="N27" s="2">
        <v>40969</v>
      </c>
      <c r="P27" s="2">
        <v>40907</v>
      </c>
      <c r="R27" s="2">
        <v>41044</v>
      </c>
      <c r="T27" s="2">
        <v>40975</v>
      </c>
      <c r="V27" s="2">
        <v>40972</v>
      </c>
      <c r="X27" s="2">
        <v>41081</v>
      </c>
      <c r="Z27" s="2">
        <v>41139</v>
      </c>
      <c r="AB27" s="2">
        <v>41171</v>
      </c>
      <c r="AD27" s="2">
        <v>41162</v>
      </c>
      <c r="AF27" s="2">
        <v>41221</v>
      </c>
      <c r="AH27" s="2">
        <v>41170</v>
      </c>
      <c r="AJ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s="2" customFormat="1">
      <c r="A28" s="1" t="s">
        <v>75</v>
      </c>
      <c r="B28" s="2">
        <v>34550</v>
      </c>
      <c r="D28" s="2">
        <v>34539</v>
      </c>
      <c r="F28" s="2">
        <v>34643</v>
      </c>
      <c r="H28" s="2">
        <v>34771</v>
      </c>
      <c r="J28" s="2">
        <v>34210</v>
      </c>
      <c r="L28" s="2">
        <v>34344</v>
      </c>
      <c r="N28" s="2">
        <v>34596</v>
      </c>
      <c r="P28" s="2">
        <v>34546</v>
      </c>
      <c r="R28" s="2">
        <v>34665</v>
      </c>
      <c r="T28" s="2">
        <v>34610</v>
      </c>
      <c r="V28" s="2">
        <v>34605</v>
      </c>
      <c r="X28" s="2">
        <v>34695</v>
      </c>
      <c r="Z28" s="2">
        <v>34734</v>
      </c>
      <c r="AB28" s="2">
        <v>34764</v>
      </c>
      <c r="AD28" s="2">
        <v>34755</v>
      </c>
      <c r="AF28" s="2">
        <v>34801</v>
      </c>
      <c r="AH28" s="2">
        <v>34763</v>
      </c>
      <c r="AJ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2" customFormat="1">
      <c r="A29" s="1"/>
      <c r="AJ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s="2" customFormat="1">
      <c r="A30" s="1" t="s">
        <v>7</v>
      </c>
      <c r="B30" s="2" t="s">
        <v>626</v>
      </c>
      <c r="C30" s="2" t="s">
        <v>419</v>
      </c>
      <c r="D30" s="2" t="s">
        <v>627</v>
      </c>
      <c r="E30" s="2" t="s">
        <v>419</v>
      </c>
      <c r="F30" s="2" t="s">
        <v>628</v>
      </c>
      <c r="G30" s="2" t="s">
        <v>629</v>
      </c>
      <c r="H30" s="2" t="s">
        <v>148</v>
      </c>
      <c r="I30" s="2" t="s">
        <v>149</v>
      </c>
      <c r="J30" s="2" t="s">
        <v>630</v>
      </c>
      <c r="K30" s="2" t="s">
        <v>203</v>
      </c>
      <c r="L30" s="2" t="s">
        <v>631</v>
      </c>
      <c r="M30" s="2" t="s">
        <v>205</v>
      </c>
      <c r="N30" s="2" t="s">
        <v>632</v>
      </c>
      <c r="O30" s="2" t="s">
        <v>39</v>
      </c>
      <c r="P30" s="2" t="s">
        <v>633</v>
      </c>
      <c r="Q30" s="2" t="s">
        <v>39</v>
      </c>
      <c r="R30" s="2" t="s">
        <v>634</v>
      </c>
      <c r="S30" s="2" t="s">
        <v>39</v>
      </c>
      <c r="T30" s="2" t="s">
        <v>635</v>
      </c>
      <c r="U30" s="2" t="s">
        <v>371</v>
      </c>
      <c r="V30" s="2" t="s">
        <v>636</v>
      </c>
      <c r="W30" s="2" t="s">
        <v>308</v>
      </c>
      <c r="X30" s="2" t="s">
        <v>637</v>
      </c>
      <c r="Y30" s="2" t="s">
        <v>304</v>
      </c>
      <c r="Z30" s="2" t="s">
        <v>638</v>
      </c>
      <c r="AA30" s="2" t="s">
        <v>302</v>
      </c>
      <c r="AB30" s="2" t="s">
        <v>639</v>
      </c>
      <c r="AC30" s="2" t="s">
        <v>302</v>
      </c>
      <c r="AD30" s="2" t="s">
        <v>640</v>
      </c>
      <c r="AE30" s="2" t="s">
        <v>302</v>
      </c>
      <c r="AF30" s="2" t="s">
        <v>641</v>
      </c>
      <c r="AG30" s="2" t="s">
        <v>302</v>
      </c>
      <c r="AH30" s="2" t="s">
        <v>642</v>
      </c>
      <c r="AI30" s="2" t="s">
        <v>302</v>
      </c>
      <c r="AJ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s="2" customFormat="1">
      <c r="A31" s="1" t="s">
        <v>14</v>
      </c>
      <c r="B31" s="2" t="s">
        <v>643</v>
      </c>
      <c r="C31" s="2" t="s">
        <v>77</v>
      </c>
      <c r="D31" s="2" t="s">
        <v>644</v>
      </c>
      <c r="E31" s="2" t="s">
        <v>77</v>
      </c>
      <c r="F31" s="2" t="s">
        <v>645</v>
      </c>
      <c r="G31" s="2" t="s">
        <v>77</v>
      </c>
      <c r="H31" s="2" t="s">
        <v>153</v>
      </c>
      <c r="I31" s="2" t="s">
        <v>77</v>
      </c>
      <c r="J31" s="2" t="s">
        <v>646</v>
      </c>
      <c r="K31" s="2" t="s">
        <v>77</v>
      </c>
      <c r="L31" s="2" t="s">
        <v>647</v>
      </c>
      <c r="M31" s="2" t="s">
        <v>84</v>
      </c>
      <c r="N31" s="2" t="s">
        <v>648</v>
      </c>
      <c r="O31" s="2" t="s">
        <v>77</v>
      </c>
      <c r="P31" s="2" t="s">
        <v>649</v>
      </c>
      <c r="Q31" s="2" t="s">
        <v>77</v>
      </c>
      <c r="R31" s="2" t="s">
        <v>650</v>
      </c>
      <c r="S31" s="2" t="s">
        <v>77</v>
      </c>
      <c r="T31" s="2" t="s">
        <v>651</v>
      </c>
      <c r="U31" s="2" t="s">
        <v>77</v>
      </c>
      <c r="V31" s="2" t="s">
        <v>652</v>
      </c>
      <c r="W31" s="2" t="s">
        <v>77</v>
      </c>
      <c r="X31" s="2" t="s">
        <v>653</v>
      </c>
      <c r="Y31" s="2" t="s">
        <v>77</v>
      </c>
      <c r="Z31" s="2" t="s">
        <v>654</v>
      </c>
      <c r="AA31" s="2" t="s">
        <v>77</v>
      </c>
      <c r="AB31" s="2" t="s">
        <v>655</v>
      </c>
      <c r="AC31" s="2" t="s">
        <v>77</v>
      </c>
      <c r="AD31" s="2" t="s">
        <v>656</v>
      </c>
      <c r="AE31" s="2" t="s">
        <v>84</v>
      </c>
      <c r="AF31" s="2" t="s">
        <v>657</v>
      </c>
      <c r="AG31" s="2" t="s">
        <v>84</v>
      </c>
      <c r="AH31" s="2" t="s">
        <v>658</v>
      </c>
      <c r="AI31" s="2" t="s">
        <v>77</v>
      </c>
      <c r="AJ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s="2" customFormat="1">
      <c r="A32" s="1" t="s">
        <v>21</v>
      </c>
      <c r="B32" s="2" t="s">
        <v>659</v>
      </c>
      <c r="C32" s="2" t="s">
        <v>493</v>
      </c>
      <c r="D32" s="2" t="s">
        <v>660</v>
      </c>
      <c r="E32" s="2" t="s">
        <v>182</v>
      </c>
      <c r="F32" s="2" t="s">
        <v>661</v>
      </c>
      <c r="G32" s="2" t="s">
        <v>111</v>
      </c>
      <c r="H32" s="2" t="s">
        <v>157</v>
      </c>
      <c r="I32" s="2" t="s">
        <v>158</v>
      </c>
      <c r="J32" s="2" t="s">
        <v>662</v>
      </c>
      <c r="K32" s="2" t="s">
        <v>27</v>
      </c>
      <c r="L32" s="2" t="s">
        <v>663</v>
      </c>
      <c r="M32" s="2" t="s">
        <v>405</v>
      </c>
      <c r="N32" s="2" t="s">
        <v>664</v>
      </c>
      <c r="O32" s="2" t="s">
        <v>201</v>
      </c>
      <c r="P32" s="2" t="s">
        <v>665</v>
      </c>
      <c r="Q32" s="2" t="s">
        <v>666</v>
      </c>
      <c r="R32" s="2" t="s">
        <v>667</v>
      </c>
      <c r="S32" s="2" t="s">
        <v>666</v>
      </c>
      <c r="T32" s="2" t="s">
        <v>668</v>
      </c>
      <c r="U32" s="2" t="s">
        <v>101</v>
      </c>
      <c r="V32" s="2" t="s">
        <v>669</v>
      </c>
      <c r="W32" s="2" t="s">
        <v>205</v>
      </c>
      <c r="X32" s="2" t="s">
        <v>670</v>
      </c>
      <c r="Y32" s="2" t="s">
        <v>42</v>
      </c>
      <c r="Z32" s="2" t="s">
        <v>671</v>
      </c>
      <c r="AA32" s="2" t="s">
        <v>158</v>
      </c>
      <c r="AB32" s="2" t="s">
        <v>672</v>
      </c>
      <c r="AC32" s="2" t="s">
        <v>158</v>
      </c>
      <c r="AD32" s="2" t="s">
        <v>673</v>
      </c>
      <c r="AE32" s="2" t="s">
        <v>158</v>
      </c>
      <c r="AF32" s="2" t="s">
        <v>674</v>
      </c>
      <c r="AG32" s="2" t="s">
        <v>158</v>
      </c>
      <c r="AH32" s="2" t="s">
        <v>675</v>
      </c>
      <c r="AI32" s="2" t="s">
        <v>158</v>
      </c>
      <c r="AJ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s="2" customFormat="1">
      <c r="A33" s="1" t="s">
        <v>28</v>
      </c>
      <c r="B33" s="2" t="s">
        <v>676</v>
      </c>
      <c r="C33" s="2" t="s">
        <v>84</v>
      </c>
      <c r="D33" s="2" t="s">
        <v>677</v>
      </c>
      <c r="E33" s="2" t="s">
        <v>84</v>
      </c>
      <c r="F33" s="2" t="s">
        <v>678</v>
      </c>
      <c r="G33" s="2" t="s">
        <v>84</v>
      </c>
      <c r="H33" s="2" t="s">
        <v>162</v>
      </c>
      <c r="I33" s="2" t="s">
        <v>84</v>
      </c>
      <c r="J33" s="2" t="s">
        <v>679</v>
      </c>
      <c r="K33" s="2" t="s">
        <v>84</v>
      </c>
      <c r="L33" s="2" t="s">
        <v>680</v>
      </c>
      <c r="M33" s="2" t="s">
        <v>94</v>
      </c>
      <c r="N33" s="2" t="s">
        <v>681</v>
      </c>
      <c r="O33" s="2" t="s">
        <v>94</v>
      </c>
      <c r="P33" s="2" t="s">
        <v>682</v>
      </c>
      <c r="Q33" s="2" t="s">
        <v>84</v>
      </c>
      <c r="R33" s="2" t="s">
        <v>683</v>
      </c>
      <c r="S33" s="2" t="s">
        <v>84</v>
      </c>
      <c r="T33" s="2" t="s">
        <v>684</v>
      </c>
      <c r="U33" s="2" t="s">
        <v>84</v>
      </c>
      <c r="V33" s="2" t="s">
        <v>685</v>
      </c>
      <c r="W33" s="2" t="s">
        <v>84</v>
      </c>
      <c r="X33" s="2" t="s">
        <v>686</v>
      </c>
      <c r="Y33" s="2" t="s">
        <v>84</v>
      </c>
      <c r="Z33" s="2" t="s">
        <v>687</v>
      </c>
      <c r="AA33" s="2" t="s">
        <v>84</v>
      </c>
      <c r="AB33" s="2" t="s">
        <v>688</v>
      </c>
      <c r="AC33" s="2" t="s">
        <v>94</v>
      </c>
      <c r="AD33" s="2" t="s">
        <v>689</v>
      </c>
      <c r="AE33" s="2" t="s">
        <v>94</v>
      </c>
      <c r="AF33" s="2" t="s">
        <v>690</v>
      </c>
      <c r="AG33" s="2" t="s">
        <v>691</v>
      </c>
      <c r="AH33" s="2" t="s">
        <v>692</v>
      </c>
      <c r="AI33" s="2" t="s">
        <v>94</v>
      </c>
      <c r="AJ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</sheetData>
  <sheetProtection selectLockedCells="1" selectUnlockedCells="1"/>
  <mergeCells count="18">
    <mergeCell ref="J3:K3"/>
    <mergeCell ref="A1:E1"/>
    <mergeCell ref="B3:C3"/>
    <mergeCell ref="D3:E3"/>
    <mergeCell ref="F3:G3"/>
    <mergeCell ref="H3:I3"/>
    <mergeCell ref="AH3:AI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opLeftCell="A2" zoomScale="120" zoomScaleNormal="120" workbookViewId="0">
      <pane xSplit="1" ySplit="3" topLeftCell="G5" activePane="bottomRight" state="frozen"/>
      <selection activeCell="A2" sqref="A2"/>
      <selection pane="topRight" activeCell="B2" sqref="B2"/>
      <selection pane="bottomLeft" activeCell="A5" sqref="A5"/>
      <selection pane="bottomRight" activeCell="R6" sqref="R6"/>
    </sheetView>
  </sheetViews>
  <sheetFormatPr baseColWidth="10" defaultRowHeight="13.2"/>
  <cols>
    <col min="1" max="1" width="49.33203125" style="2" customWidth="1"/>
    <col min="2" max="2" width="9.77734375" style="2" customWidth="1"/>
    <col min="3" max="3" width="7.77734375" style="2" customWidth="1"/>
    <col min="4" max="4" width="9.77734375" style="2" customWidth="1"/>
    <col min="5" max="5" width="7.77734375" style="2" customWidth="1"/>
    <col min="6" max="6" width="9.77734375" style="2" customWidth="1"/>
    <col min="7" max="7" width="7.77734375" style="2" customWidth="1"/>
    <col min="8" max="8" width="9.77734375" style="2" customWidth="1"/>
    <col min="9" max="9" width="7.77734375" style="2" customWidth="1"/>
    <col min="10" max="10" width="9.77734375" style="2" customWidth="1"/>
    <col min="11" max="11" width="7.77734375" style="2" customWidth="1"/>
    <col min="12" max="12" width="9.77734375" style="2" customWidth="1"/>
    <col min="13" max="13" width="7.77734375" style="2" customWidth="1"/>
    <col min="14" max="14" width="9.77734375" style="2" customWidth="1"/>
    <col min="15" max="15" width="7.77734375" style="2" customWidth="1"/>
    <col min="16" max="16" width="9.77734375" style="2" customWidth="1"/>
    <col min="17" max="17" width="7.77734375" style="2" customWidth="1"/>
    <col min="18" max="18" width="9.77734375" style="2" customWidth="1"/>
    <col min="19" max="19" width="7.77734375" style="2" customWidth="1"/>
    <col min="20" max="256" width="9.77734375" style="2" customWidth="1"/>
    <col min="257" max="16384" width="11.5546875" style="2"/>
  </cols>
  <sheetData>
    <row r="1" spans="1:19">
      <c r="A1" s="4"/>
    </row>
    <row r="2" spans="1:19">
      <c r="A2" s="3" t="s">
        <v>693</v>
      </c>
    </row>
    <row r="4" spans="1:19" s="1" customFormat="1">
      <c r="A4" s="15"/>
      <c r="B4" s="43" t="s">
        <v>694</v>
      </c>
      <c r="C4" s="43"/>
      <c r="D4" s="43"/>
      <c r="E4" s="43"/>
      <c r="F4" s="43"/>
      <c r="G4" s="43"/>
      <c r="H4" s="43" t="s">
        <v>695</v>
      </c>
      <c r="I4" s="43"/>
      <c r="J4" s="43"/>
      <c r="K4" s="43"/>
      <c r="L4" s="43"/>
      <c r="M4" s="43"/>
      <c r="N4" s="43" t="s">
        <v>696</v>
      </c>
      <c r="O4" s="43"/>
      <c r="P4" s="43"/>
      <c r="Q4" s="43"/>
      <c r="R4" s="43"/>
      <c r="S4" s="43"/>
    </row>
    <row r="5" spans="1:19" s="5" customFormat="1">
      <c r="B5" s="5" t="s">
        <v>697</v>
      </c>
      <c r="D5" s="5" t="s">
        <v>698</v>
      </c>
      <c r="F5" s="5" t="s">
        <v>699</v>
      </c>
      <c r="H5" s="5" t="s">
        <v>697</v>
      </c>
      <c r="J5" s="5" t="s">
        <v>698</v>
      </c>
      <c r="L5" s="5" t="s">
        <v>699</v>
      </c>
      <c r="N5" s="5" t="s">
        <v>697</v>
      </c>
      <c r="P5" s="5" t="s">
        <v>698</v>
      </c>
      <c r="R5" s="5" t="s">
        <v>699</v>
      </c>
    </row>
    <row r="6" spans="1:19">
      <c r="A6" s="1" t="s">
        <v>4</v>
      </c>
      <c r="B6" s="2">
        <v>7041</v>
      </c>
      <c r="D6" s="2">
        <v>6935</v>
      </c>
      <c r="F6" s="2">
        <v>6927</v>
      </c>
      <c r="H6" s="2">
        <v>7045</v>
      </c>
      <c r="J6" s="2">
        <v>6971</v>
      </c>
      <c r="L6" s="2">
        <v>6972</v>
      </c>
      <c r="N6" s="2">
        <v>7032</v>
      </c>
      <c r="P6" s="2">
        <v>6946</v>
      </c>
      <c r="R6" s="2">
        <v>6939</v>
      </c>
    </row>
    <row r="7" spans="1:19">
      <c r="A7" s="1" t="s">
        <v>5</v>
      </c>
      <c r="B7" s="2">
        <v>38690</v>
      </c>
      <c r="D7" s="2">
        <v>38834</v>
      </c>
      <c r="F7" s="2">
        <v>38404</v>
      </c>
      <c r="H7" s="2">
        <v>38780</v>
      </c>
      <c r="J7" s="2">
        <v>38880</v>
      </c>
      <c r="L7" s="2">
        <v>38537</v>
      </c>
      <c r="N7" s="2">
        <v>38622</v>
      </c>
      <c r="P7" s="2">
        <v>38789</v>
      </c>
      <c r="R7" s="2">
        <v>38387</v>
      </c>
    </row>
    <row r="8" spans="1:19">
      <c r="A8" s="1" t="s">
        <v>6</v>
      </c>
      <c r="B8" s="2">
        <v>31556</v>
      </c>
      <c r="D8" s="2">
        <v>31791</v>
      </c>
      <c r="F8" s="2">
        <v>31360</v>
      </c>
      <c r="H8" s="2">
        <v>31631</v>
      </c>
      <c r="J8" s="2">
        <v>31787</v>
      </c>
      <c r="L8" s="2">
        <v>31446</v>
      </c>
      <c r="N8" s="2">
        <v>31505</v>
      </c>
      <c r="P8" s="2">
        <v>31736</v>
      </c>
      <c r="R8" s="2">
        <v>31336</v>
      </c>
    </row>
    <row r="9" spans="1:19">
      <c r="A9" s="1"/>
    </row>
    <row r="10" spans="1:19">
      <c r="A10" s="1" t="s">
        <v>7</v>
      </c>
      <c r="B10" s="2" t="s">
        <v>700</v>
      </c>
      <c r="C10" s="2" t="s">
        <v>701</v>
      </c>
      <c r="D10" s="2" t="s">
        <v>702</v>
      </c>
      <c r="E10" s="2" t="s">
        <v>703</v>
      </c>
      <c r="F10" s="2" t="s">
        <v>704</v>
      </c>
      <c r="G10" s="2" t="s">
        <v>705</v>
      </c>
      <c r="H10" s="2" t="s">
        <v>706</v>
      </c>
      <c r="I10" s="2" t="s">
        <v>707</v>
      </c>
      <c r="J10" s="2" t="s">
        <v>708</v>
      </c>
      <c r="K10" s="2" t="s">
        <v>709</v>
      </c>
      <c r="L10" s="2" t="s">
        <v>710</v>
      </c>
      <c r="M10" s="2" t="s">
        <v>711</v>
      </c>
      <c r="N10" s="2" t="s">
        <v>712</v>
      </c>
      <c r="O10" s="2" t="s">
        <v>713</v>
      </c>
      <c r="P10" s="2" t="s">
        <v>714</v>
      </c>
      <c r="Q10" s="2" t="s">
        <v>707</v>
      </c>
      <c r="R10" s="2" t="s">
        <v>715</v>
      </c>
      <c r="S10" s="2" t="s">
        <v>705</v>
      </c>
    </row>
    <row r="11" spans="1:19">
      <c r="A11" s="1" t="s">
        <v>14</v>
      </c>
      <c r="B11" s="2" t="s">
        <v>716</v>
      </c>
      <c r="C11" s="2" t="s">
        <v>717</v>
      </c>
      <c r="D11" s="2" t="s">
        <v>718</v>
      </c>
      <c r="E11" s="2" t="s">
        <v>717</v>
      </c>
      <c r="F11" s="2" t="s">
        <v>719</v>
      </c>
      <c r="G11" s="2" t="s">
        <v>717</v>
      </c>
      <c r="H11" s="2" t="s">
        <v>720</v>
      </c>
      <c r="I11" s="2" t="s">
        <v>721</v>
      </c>
      <c r="J11" s="2" t="s">
        <v>722</v>
      </c>
      <c r="K11" s="2" t="s">
        <v>717</v>
      </c>
      <c r="L11" s="2" t="s">
        <v>723</v>
      </c>
      <c r="M11" s="2" t="s">
        <v>717</v>
      </c>
      <c r="N11" s="2" t="s">
        <v>724</v>
      </c>
      <c r="O11" s="2" t="s">
        <v>717</v>
      </c>
      <c r="P11" s="2" t="s">
        <v>725</v>
      </c>
      <c r="Q11" s="2" t="s">
        <v>717</v>
      </c>
      <c r="R11" s="2" t="s">
        <v>726</v>
      </c>
      <c r="S11" s="2" t="s">
        <v>717</v>
      </c>
    </row>
    <row r="12" spans="1:19">
      <c r="A12" s="1" t="s">
        <v>21</v>
      </c>
      <c r="B12" s="2" t="s">
        <v>727</v>
      </c>
      <c r="C12" s="2" t="s">
        <v>728</v>
      </c>
      <c r="D12" s="2" t="s">
        <v>729</v>
      </c>
      <c r="E12" s="2" t="s">
        <v>730</v>
      </c>
      <c r="F12" s="2" t="s">
        <v>731</v>
      </c>
      <c r="G12" s="2" t="s">
        <v>732</v>
      </c>
      <c r="H12" s="2" t="s">
        <v>733</v>
      </c>
      <c r="I12" s="2" t="s">
        <v>734</v>
      </c>
      <c r="J12" s="2" t="s">
        <v>735</v>
      </c>
      <c r="K12" s="2" t="s">
        <v>730</v>
      </c>
      <c r="L12" s="2" t="s">
        <v>736</v>
      </c>
      <c r="M12" s="2" t="s">
        <v>737</v>
      </c>
      <c r="N12" s="2" t="s">
        <v>738</v>
      </c>
      <c r="O12" s="2" t="s">
        <v>739</v>
      </c>
      <c r="P12" s="2" t="s">
        <v>740</v>
      </c>
      <c r="Q12" s="2" t="s">
        <v>741</v>
      </c>
      <c r="R12" s="2" t="s">
        <v>742</v>
      </c>
      <c r="S12" s="2" t="s">
        <v>743</v>
      </c>
    </row>
    <row r="13" spans="1:19">
      <c r="A13" s="1" t="s">
        <v>28</v>
      </c>
      <c r="B13" s="2" t="s">
        <v>744</v>
      </c>
      <c r="C13" s="2" t="s">
        <v>745</v>
      </c>
      <c r="D13" s="2" t="s">
        <v>746</v>
      </c>
      <c r="E13" s="2" t="s">
        <v>747</v>
      </c>
      <c r="F13" s="2" t="s">
        <v>748</v>
      </c>
      <c r="G13" s="2" t="s">
        <v>747</v>
      </c>
      <c r="H13" s="2" t="s">
        <v>749</v>
      </c>
      <c r="I13" s="2" t="s">
        <v>747</v>
      </c>
      <c r="J13" s="2" t="s">
        <v>750</v>
      </c>
      <c r="K13" s="2" t="s">
        <v>747</v>
      </c>
      <c r="L13" s="2" t="s">
        <v>751</v>
      </c>
      <c r="M13" s="2" t="s">
        <v>747</v>
      </c>
      <c r="N13" s="2" t="s">
        <v>752</v>
      </c>
      <c r="O13" s="2" t="s">
        <v>747</v>
      </c>
      <c r="P13" s="2" t="s">
        <v>753</v>
      </c>
      <c r="Q13" s="2" t="s">
        <v>747</v>
      </c>
      <c r="R13" s="2" t="s">
        <v>754</v>
      </c>
      <c r="S13" s="2" t="s">
        <v>747</v>
      </c>
    </row>
    <row r="14" spans="1:19">
      <c r="A14" s="1" t="s">
        <v>34</v>
      </c>
      <c r="B14" s="2" t="s">
        <v>755</v>
      </c>
      <c r="C14" s="2" t="s">
        <v>756</v>
      </c>
      <c r="D14" s="2" t="s">
        <v>757</v>
      </c>
      <c r="E14" s="2" t="s">
        <v>758</v>
      </c>
      <c r="F14" s="2" t="s">
        <v>759</v>
      </c>
      <c r="G14" s="2" t="s">
        <v>760</v>
      </c>
      <c r="H14" s="2" t="s">
        <v>761</v>
      </c>
      <c r="I14" s="2" t="s">
        <v>762</v>
      </c>
      <c r="J14" s="2" t="s">
        <v>763</v>
      </c>
      <c r="K14" s="2" t="s">
        <v>764</v>
      </c>
      <c r="L14" s="2" t="s">
        <v>765</v>
      </c>
      <c r="M14" s="2" t="s">
        <v>766</v>
      </c>
      <c r="N14" s="2" t="s">
        <v>767</v>
      </c>
      <c r="O14" s="2" t="s">
        <v>764</v>
      </c>
      <c r="P14" s="2" t="s">
        <v>768</v>
      </c>
      <c r="Q14" s="2" t="s">
        <v>769</v>
      </c>
      <c r="R14" s="2" t="s">
        <v>770</v>
      </c>
      <c r="S14" s="2" t="s">
        <v>760</v>
      </c>
    </row>
    <row r="15" spans="1:19">
      <c r="A15" s="1" t="s">
        <v>40</v>
      </c>
      <c r="B15" s="2" t="s">
        <v>771</v>
      </c>
      <c r="C15" s="2" t="s">
        <v>772</v>
      </c>
      <c r="D15" s="2" t="s">
        <v>773</v>
      </c>
      <c r="E15" s="2" t="s">
        <v>774</v>
      </c>
      <c r="F15" s="2" t="s">
        <v>775</v>
      </c>
      <c r="G15" s="2" t="s">
        <v>776</v>
      </c>
      <c r="H15" s="2" t="s">
        <v>777</v>
      </c>
      <c r="I15" s="2" t="s">
        <v>772</v>
      </c>
      <c r="J15" s="2" t="s">
        <v>778</v>
      </c>
      <c r="K15" s="2" t="s">
        <v>779</v>
      </c>
      <c r="L15" s="2" t="s">
        <v>780</v>
      </c>
      <c r="M15" s="2" t="s">
        <v>779</v>
      </c>
      <c r="N15" s="2" t="s">
        <v>781</v>
      </c>
      <c r="O15" s="2" t="s">
        <v>772</v>
      </c>
      <c r="P15" s="2" t="s">
        <v>782</v>
      </c>
      <c r="Q15" s="2" t="s">
        <v>776</v>
      </c>
      <c r="R15" s="2" t="s">
        <v>783</v>
      </c>
      <c r="S15" s="2" t="s">
        <v>776</v>
      </c>
    </row>
    <row r="16" spans="1:19">
      <c r="A16" s="1"/>
    </row>
    <row r="17" spans="1:19">
      <c r="A17" s="1" t="s">
        <v>47</v>
      </c>
      <c r="B17" s="2">
        <v>4396</v>
      </c>
      <c r="D17" s="2">
        <v>4472</v>
      </c>
      <c r="F17" s="2">
        <v>4358</v>
      </c>
      <c r="H17" s="2">
        <v>4381</v>
      </c>
      <c r="J17" s="2">
        <v>4470</v>
      </c>
      <c r="L17" s="2">
        <v>4376</v>
      </c>
      <c r="N17" s="2">
        <v>4388</v>
      </c>
      <c r="P17" s="2">
        <v>4462</v>
      </c>
      <c r="R17" s="2">
        <v>4342</v>
      </c>
    </row>
    <row r="18" spans="1:19">
      <c r="A18" s="1" t="s">
        <v>48</v>
      </c>
      <c r="B18" s="2">
        <f xml:space="preserve"> 4396/7041</f>
        <v>0.62434313307768785</v>
      </c>
      <c r="C18" s="2" t="s">
        <v>784</v>
      </c>
      <c r="D18" s="2">
        <f>4472/6935</f>
        <v>0.64484498918529198</v>
      </c>
      <c r="E18" s="2" t="s">
        <v>344</v>
      </c>
      <c r="F18" s="2">
        <f>4358/6927</f>
        <v>0.62913238053991627</v>
      </c>
      <c r="G18" s="2" t="s">
        <v>785</v>
      </c>
      <c r="H18" s="2">
        <f>4381/7045</f>
        <v>0.62185947480482606</v>
      </c>
      <c r="I18" s="2" t="s">
        <v>786</v>
      </c>
      <c r="J18" s="2">
        <f>4470/6971</f>
        <v>0.64122794434084063</v>
      </c>
      <c r="K18" s="2" t="s">
        <v>338</v>
      </c>
      <c r="L18" s="2">
        <f>4376/6972</f>
        <v>0.627653471026965</v>
      </c>
      <c r="M18" s="2" t="s">
        <v>787</v>
      </c>
      <c r="N18" s="2">
        <f>4388/7032</f>
        <v>0.62400455062571103</v>
      </c>
      <c r="O18" s="2" t="s">
        <v>784</v>
      </c>
      <c r="P18" s="2">
        <f xml:space="preserve"> 4462/6946</f>
        <v>0.64238410596026485</v>
      </c>
      <c r="Q18" s="2" t="s">
        <v>571</v>
      </c>
      <c r="R18" s="2">
        <f>4342/6939</f>
        <v>0.62573857904597208</v>
      </c>
      <c r="S18" s="2" t="s">
        <v>788</v>
      </c>
    </row>
    <row r="19" spans="1:19">
      <c r="A19" s="1" t="s">
        <v>323</v>
      </c>
      <c r="B19" s="2">
        <f xml:space="preserve"> 4396/6795</f>
        <v>0.64694628403237675</v>
      </c>
      <c r="C19" s="2" t="s">
        <v>789</v>
      </c>
      <c r="D19" s="2">
        <f>4472/6795</f>
        <v>0.65813097866077996</v>
      </c>
      <c r="E19" s="2" t="s">
        <v>319</v>
      </c>
      <c r="F19" s="2">
        <f>4358/6795</f>
        <v>0.64135393671817509</v>
      </c>
      <c r="G19" s="2" t="s">
        <v>338</v>
      </c>
      <c r="H19" s="2">
        <f>4381/6795</f>
        <v>0.64473877851361294</v>
      </c>
      <c r="I19" s="2" t="s">
        <v>344</v>
      </c>
      <c r="J19" s="2">
        <f>4470/6795</f>
        <v>0.65783664459161151</v>
      </c>
      <c r="K19" s="2" t="s">
        <v>340</v>
      </c>
      <c r="L19" s="2">
        <f>4376/6795</f>
        <v>0.64400294334069164</v>
      </c>
      <c r="M19" s="2" t="s">
        <v>601</v>
      </c>
      <c r="N19" s="2">
        <f>4388/6795</f>
        <v>0.6457689477557027</v>
      </c>
      <c r="O19" s="2" t="s">
        <v>790</v>
      </c>
      <c r="P19" s="2">
        <f xml:space="preserve"> 4462/6795</f>
        <v>0.65665930831493746</v>
      </c>
      <c r="Q19" s="2" t="s">
        <v>791</v>
      </c>
      <c r="R19" s="2">
        <f>4342/6795</f>
        <v>0.63899926416482711</v>
      </c>
      <c r="S19" s="2" t="s">
        <v>54</v>
      </c>
    </row>
    <row r="20" spans="1:19">
      <c r="A20" s="1" t="s">
        <v>62</v>
      </c>
      <c r="B20" s="2" t="s">
        <v>792</v>
      </c>
      <c r="C20" s="2" t="s">
        <v>793</v>
      </c>
      <c r="D20" s="2" t="s">
        <v>794</v>
      </c>
      <c r="E20" s="2" t="s">
        <v>795</v>
      </c>
      <c r="F20" s="2" t="s">
        <v>796</v>
      </c>
      <c r="G20" s="2" t="s">
        <v>793</v>
      </c>
      <c r="H20" s="2" t="s">
        <v>797</v>
      </c>
      <c r="I20" s="2" t="s">
        <v>798</v>
      </c>
      <c r="J20" s="2" t="s">
        <v>799</v>
      </c>
      <c r="K20" s="2" t="s">
        <v>332</v>
      </c>
      <c r="L20" s="2" t="s">
        <v>800</v>
      </c>
      <c r="M20" s="2" t="s">
        <v>793</v>
      </c>
      <c r="N20" s="2" t="s">
        <v>801</v>
      </c>
      <c r="O20" s="2" t="s">
        <v>793</v>
      </c>
      <c r="P20" s="2" t="s">
        <v>802</v>
      </c>
      <c r="Q20" s="2" t="s">
        <v>616</v>
      </c>
      <c r="R20" s="2" t="s">
        <v>803</v>
      </c>
      <c r="S20" s="2" t="s">
        <v>798</v>
      </c>
    </row>
    <row r="21" spans="1:19">
      <c r="A21" s="1"/>
      <c r="B21" s="2">
        <f>B18*B19</f>
        <v>0.40391646990574182</v>
      </c>
      <c r="D21" s="2">
        <f>D18*D19</f>
        <v>0.42439246381701629</v>
      </c>
      <c r="F21" s="2">
        <f>F18*F19</f>
        <v>0.40349652897615229</v>
      </c>
      <c r="H21" s="2">
        <f>H18*H19</f>
        <v>0.40093691819278043</v>
      </c>
      <c r="J21" s="2">
        <f>J18*J19</f>
        <v>0.4218232393235552</v>
      </c>
      <c r="L21" s="2">
        <f>L18*L19</f>
        <v>0.404210682739367</v>
      </c>
      <c r="N21" s="2">
        <f>N18*N19</f>
        <v>0.40296276205233555</v>
      </c>
      <c r="P21" s="2">
        <f>P18*P19</f>
        <v>0.42182750269237701</v>
      </c>
      <c r="R21" s="2">
        <f>R18*R19</f>
        <v>0.39984649156992064</v>
      </c>
    </row>
    <row r="22" spans="1:19">
      <c r="A22" s="1"/>
    </row>
    <row r="23" spans="1:19">
      <c r="A23" s="1" t="s">
        <v>69</v>
      </c>
    </row>
    <row r="24" spans="1:19">
      <c r="A24" s="1"/>
    </row>
    <row r="25" spans="1:19">
      <c r="A25" s="1" t="s">
        <v>70</v>
      </c>
      <c r="B25" s="2">
        <v>6645</v>
      </c>
      <c r="D25" s="2">
        <v>6586</v>
      </c>
      <c r="F25" s="2">
        <v>6573</v>
      </c>
      <c r="H25" s="2">
        <v>6648</v>
      </c>
      <c r="J25" s="2">
        <v>6611</v>
      </c>
      <c r="L25" s="2">
        <v>6606</v>
      </c>
      <c r="N25" s="2">
        <v>6641</v>
      </c>
      <c r="P25" s="2">
        <v>6594</v>
      </c>
      <c r="R25" s="2">
        <v>6585</v>
      </c>
    </row>
    <row r="26" spans="1:19">
      <c r="A26" s="1" t="s">
        <v>71</v>
      </c>
      <c r="B26" s="2">
        <v>6359</v>
      </c>
      <c r="D26" s="2">
        <v>6343</v>
      </c>
      <c r="F26" s="2">
        <v>6305</v>
      </c>
      <c r="H26" s="2">
        <v>6370</v>
      </c>
      <c r="J26" s="2">
        <v>6353</v>
      </c>
      <c r="L26" s="2">
        <v>6330</v>
      </c>
      <c r="N26" s="2">
        <v>6352</v>
      </c>
      <c r="P26" s="2">
        <v>6344</v>
      </c>
      <c r="R26" s="2">
        <v>6307</v>
      </c>
    </row>
    <row r="27" spans="1:19">
      <c r="A27" s="1" t="s">
        <v>72</v>
      </c>
      <c r="B27" s="2">
        <v>38036</v>
      </c>
      <c r="D27" s="2">
        <v>38210</v>
      </c>
      <c r="F27" s="2">
        <v>37778</v>
      </c>
      <c r="H27" s="2">
        <v>38112</v>
      </c>
      <c r="J27" s="2">
        <v>38243</v>
      </c>
      <c r="L27" s="2">
        <v>37899</v>
      </c>
      <c r="N27" s="2">
        <v>37972</v>
      </c>
      <c r="P27" s="2">
        <v>38162</v>
      </c>
      <c r="R27" s="2">
        <v>37760</v>
      </c>
    </row>
    <row r="28" spans="1:19">
      <c r="A28" s="1" t="s">
        <v>73</v>
      </c>
      <c r="B28" s="2">
        <v>31301</v>
      </c>
      <c r="D28" s="2">
        <v>31519</v>
      </c>
      <c r="F28" s="2">
        <v>31091</v>
      </c>
      <c r="H28" s="2">
        <v>31363</v>
      </c>
      <c r="J28" s="2">
        <v>31513</v>
      </c>
      <c r="L28" s="2">
        <v>31177</v>
      </c>
      <c r="N28" s="2">
        <v>31249</v>
      </c>
      <c r="P28" s="2">
        <v>31464</v>
      </c>
      <c r="R28" s="2">
        <v>31066</v>
      </c>
    </row>
    <row r="29" spans="1:19">
      <c r="A29" s="1" t="s">
        <v>74</v>
      </c>
      <c r="B29" s="2">
        <v>41434</v>
      </c>
      <c r="D29" s="2">
        <v>41364</v>
      </c>
      <c r="F29" s="2">
        <v>41157</v>
      </c>
      <c r="H29" s="2">
        <v>41491</v>
      </c>
      <c r="J29" s="2">
        <v>41439</v>
      </c>
      <c r="L29" s="2">
        <v>41308</v>
      </c>
      <c r="N29" s="2">
        <v>41377</v>
      </c>
      <c r="P29" s="2">
        <v>41377</v>
      </c>
      <c r="R29" s="2">
        <v>41170</v>
      </c>
    </row>
    <row r="30" spans="1:19">
      <c r="A30" s="1" t="s">
        <v>75</v>
      </c>
      <c r="B30" s="2">
        <v>34856</v>
      </c>
      <c r="D30" s="2">
        <v>34806</v>
      </c>
      <c r="F30" s="2">
        <v>34643</v>
      </c>
      <c r="H30" s="2">
        <v>34905</v>
      </c>
      <c r="J30" s="2">
        <v>34871</v>
      </c>
      <c r="L30" s="2">
        <v>34765</v>
      </c>
      <c r="N30" s="2">
        <v>34808</v>
      </c>
      <c r="P30" s="2">
        <v>34821</v>
      </c>
      <c r="R30" s="2">
        <v>34651</v>
      </c>
    </row>
    <row r="31" spans="1:19">
      <c r="A31" s="1"/>
    </row>
    <row r="32" spans="1:19">
      <c r="A32" s="1" t="s">
        <v>7</v>
      </c>
      <c r="B32" s="2" t="s">
        <v>148</v>
      </c>
      <c r="C32" s="2" t="s">
        <v>804</v>
      </c>
      <c r="D32" s="2" t="s">
        <v>805</v>
      </c>
      <c r="E32" s="2" t="s">
        <v>758</v>
      </c>
      <c r="F32" s="2" t="s">
        <v>806</v>
      </c>
      <c r="G32" s="2" t="s">
        <v>807</v>
      </c>
      <c r="H32" s="2" t="s">
        <v>808</v>
      </c>
      <c r="I32" s="2" t="s">
        <v>809</v>
      </c>
      <c r="J32" s="2" t="s">
        <v>810</v>
      </c>
      <c r="K32" s="2" t="s">
        <v>766</v>
      </c>
      <c r="L32" s="2" t="s">
        <v>811</v>
      </c>
      <c r="M32" s="2" t="s">
        <v>807</v>
      </c>
      <c r="N32" s="2" t="s">
        <v>812</v>
      </c>
      <c r="O32" s="2" t="s">
        <v>760</v>
      </c>
      <c r="P32" s="2" t="s">
        <v>813</v>
      </c>
      <c r="Q32" s="2" t="s">
        <v>766</v>
      </c>
      <c r="R32" s="2" t="s">
        <v>814</v>
      </c>
      <c r="S32" s="2" t="s">
        <v>807</v>
      </c>
    </row>
    <row r="33" spans="1:19">
      <c r="A33" s="1" t="s">
        <v>14</v>
      </c>
      <c r="B33" s="2" t="s">
        <v>153</v>
      </c>
      <c r="C33" s="2" t="s">
        <v>815</v>
      </c>
      <c r="D33" s="2" t="s">
        <v>816</v>
      </c>
      <c r="E33" s="2" t="s">
        <v>817</v>
      </c>
      <c r="F33" s="2" t="s">
        <v>818</v>
      </c>
      <c r="G33" s="2" t="s">
        <v>817</v>
      </c>
      <c r="H33" s="2" t="s">
        <v>819</v>
      </c>
      <c r="I33" s="2" t="s">
        <v>817</v>
      </c>
      <c r="J33" s="2" t="s">
        <v>820</v>
      </c>
      <c r="K33" s="2" t="s">
        <v>817</v>
      </c>
      <c r="L33" s="2" t="s">
        <v>821</v>
      </c>
      <c r="M33" s="2" t="s">
        <v>817</v>
      </c>
      <c r="N33" s="2" t="s">
        <v>822</v>
      </c>
      <c r="O33" s="2" t="s">
        <v>817</v>
      </c>
      <c r="P33" s="2" t="s">
        <v>823</v>
      </c>
      <c r="Q33" s="2" t="s">
        <v>817</v>
      </c>
      <c r="R33" s="2" t="s">
        <v>824</v>
      </c>
      <c r="S33" s="2" t="s">
        <v>817</v>
      </c>
    </row>
    <row r="34" spans="1:19">
      <c r="A34" s="1" t="s">
        <v>21</v>
      </c>
      <c r="B34" s="2" t="s">
        <v>157</v>
      </c>
      <c r="C34" s="2" t="s">
        <v>825</v>
      </c>
      <c r="D34" s="2" t="s">
        <v>826</v>
      </c>
      <c r="E34" s="2" t="s">
        <v>827</v>
      </c>
      <c r="F34" s="2" t="s">
        <v>828</v>
      </c>
      <c r="G34" s="2" t="s">
        <v>829</v>
      </c>
      <c r="H34" s="2" t="s">
        <v>830</v>
      </c>
      <c r="I34" s="2" t="s">
        <v>829</v>
      </c>
      <c r="J34" s="2" t="s">
        <v>831</v>
      </c>
      <c r="K34" s="2" t="s">
        <v>832</v>
      </c>
      <c r="L34" s="2" t="s">
        <v>833</v>
      </c>
      <c r="M34" s="2" t="s">
        <v>834</v>
      </c>
      <c r="N34" s="2" t="s">
        <v>835</v>
      </c>
      <c r="O34" s="2" t="s">
        <v>834</v>
      </c>
      <c r="P34" s="2" t="s">
        <v>836</v>
      </c>
      <c r="Q34" s="2" t="s">
        <v>832</v>
      </c>
      <c r="R34" s="2" t="s">
        <v>837</v>
      </c>
      <c r="S34" s="2" t="s">
        <v>834</v>
      </c>
    </row>
    <row r="35" spans="1:19">
      <c r="A35" s="1" t="s">
        <v>28</v>
      </c>
      <c r="B35" s="2" t="s">
        <v>162</v>
      </c>
      <c r="C35" s="2" t="s">
        <v>817</v>
      </c>
      <c r="D35" s="2" t="s">
        <v>838</v>
      </c>
      <c r="E35" s="2" t="s">
        <v>817</v>
      </c>
      <c r="F35" s="2" t="s">
        <v>839</v>
      </c>
      <c r="G35" s="2" t="s">
        <v>817</v>
      </c>
      <c r="H35" s="2" t="s">
        <v>840</v>
      </c>
      <c r="I35" s="2" t="s">
        <v>841</v>
      </c>
      <c r="J35" s="2" t="s">
        <v>842</v>
      </c>
      <c r="K35" s="2" t="s">
        <v>817</v>
      </c>
      <c r="L35" s="2" t="s">
        <v>843</v>
      </c>
      <c r="M35" s="2" t="s">
        <v>817</v>
      </c>
      <c r="N35" s="2" t="s">
        <v>844</v>
      </c>
      <c r="O35" s="2" t="s">
        <v>841</v>
      </c>
      <c r="P35" s="2" t="s">
        <v>845</v>
      </c>
      <c r="Q35" s="2" t="s">
        <v>817</v>
      </c>
      <c r="R35" s="2" t="s">
        <v>846</v>
      </c>
      <c r="S35" s="2" t="s">
        <v>817</v>
      </c>
    </row>
  </sheetData>
  <sheetProtection selectLockedCells="1" selectUnlockedCells="1"/>
  <mergeCells count="3">
    <mergeCell ref="B4:G4"/>
    <mergeCell ref="H4:M4"/>
    <mergeCell ref="N4:S4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120" zoomScaleNormal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3.2"/>
  <cols>
    <col min="1" max="1" width="45.44140625" style="2" customWidth="1"/>
    <col min="2" max="2" width="9.77734375" style="2" customWidth="1"/>
    <col min="3" max="3" width="7.77734375" style="2" customWidth="1"/>
    <col min="4" max="4" width="9.77734375" style="2" customWidth="1"/>
    <col min="5" max="5" width="7.77734375" style="2" customWidth="1"/>
    <col min="6" max="6" width="9.77734375" style="2" customWidth="1"/>
    <col min="7" max="7" width="7.77734375" style="2" customWidth="1"/>
    <col min="8" max="8" width="9.77734375" style="2" customWidth="1"/>
    <col min="9" max="9" width="7.77734375" style="2" customWidth="1"/>
    <col min="10" max="10" width="9.77734375" style="2" customWidth="1"/>
    <col min="11" max="11" width="7.77734375" style="2" customWidth="1"/>
    <col min="12" max="12" width="9.77734375" style="2" customWidth="1"/>
    <col min="13" max="13" width="7.77734375" style="2" customWidth="1"/>
    <col min="14" max="14" width="9.77734375" style="2" customWidth="1"/>
    <col min="15" max="15" width="7.77734375" style="2" customWidth="1"/>
    <col min="16" max="16" width="9.77734375" style="2" customWidth="1"/>
    <col min="17" max="17" width="7.77734375" style="2" customWidth="1"/>
    <col min="18" max="18" width="9.77734375" style="2" customWidth="1"/>
    <col min="19" max="19" width="7.77734375" style="2" customWidth="1"/>
    <col min="20" max="256" width="9.77734375" style="2" customWidth="1"/>
    <col min="257" max="16384" width="11.5546875" style="2"/>
  </cols>
  <sheetData>
    <row r="1" spans="1:19">
      <c r="A1" s="3" t="s">
        <v>847</v>
      </c>
    </row>
    <row r="3" spans="1:19" s="1" customFormat="1">
      <c r="B3" s="43" t="s">
        <v>694</v>
      </c>
      <c r="C3" s="43"/>
      <c r="D3" s="43"/>
      <c r="E3" s="43"/>
      <c r="F3" s="43"/>
      <c r="G3" s="43"/>
      <c r="H3" s="43" t="s">
        <v>695</v>
      </c>
      <c r="I3" s="43"/>
      <c r="J3" s="43"/>
      <c r="K3" s="43"/>
      <c r="L3" s="43"/>
      <c r="M3" s="43"/>
      <c r="N3" s="43" t="s">
        <v>696</v>
      </c>
      <c r="O3" s="43"/>
      <c r="P3" s="43"/>
      <c r="Q3" s="43"/>
      <c r="R3" s="43"/>
      <c r="S3" s="43"/>
    </row>
    <row r="4" spans="1:19" s="5" customFormat="1">
      <c r="B4" s="11" t="s">
        <v>697</v>
      </c>
      <c r="C4" s="11"/>
      <c r="D4" s="11" t="s">
        <v>698</v>
      </c>
      <c r="E4" s="11"/>
      <c r="F4" s="11" t="s">
        <v>699</v>
      </c>
      <c r="G4" s="11"/>
      <c r="H4" s="11" t="s">
        <v>697</v>
      </c>
      <c r="I4" s="11"/>
      <c r="J4" s="11" t="s">
        <v>698</v>
      </c>
      <c r="K4" s="11"/>
      <c r="L4" s="11" t="s">
        <v>699</v>
      </c>
      <c r="M4" s="11"/>
      <c r="N4" s="41" t="s">
        <v>697</v>
      </c>
      <c r="O4" s="41"/>
      <c r="P4" s="41" t="s">
        <v>698</v>
      </c>
      <c r="Q4" s="41"/>
      <c r="R4" s="41" t="s">
        <v>699</v>
      </c>
      <c r="S4" s="41"/>
    </row>
    <row r="5" spans="1:19">
      <c r="A5" s="2" t="s">
        <v>4</v>
      </c>
      <c r="B5" s="2">
        <v>6797</v>
      </c>
      <c r="D5" s="2">
        <v>7074</v>
      </c>
      <c r="F5" s="2">
        <v>6783</v>
      </c>
      <c r="H5" s="2">
        <v>6804</v>
      </c>
      <c r="J5" s="2">
        <v>6999</v>
      </c>
      <c r="L5" s="2">
        <v>6794</v>
      </c>
      <c r="N5" s="2">
        <v>6800</v>
      </c>
      <c r="P5" s="2">
        <v>6946</v>
      </c>
      <c r="R5" s="2">
        <v>6787</v>
      </c>
    </row>
    <row r="6" spans="1:19">
      <c r="A6" s="2" t="s">
        <v>5</v>
      </c>
      <c r="B6" s="2">
        <v>37565</v>
      </c>
      <c r="D6" s="2">
        <v>38785</v>
      </c>
      <c r="F6" s="2">
        <v>37102</v>
      </c>
      <c r="H6" s="2">
        <v>37729</v>
      </c>
      <c r="J6" s="2">
        <v>38931</v>
      </c>
      <c r="L6" s="2">
        <v>37343</v>
      </c>
      <c r="N6" s="2">
        <v>37614</v>
      </c>
      <c r="P6" s="2">
        <v>38738</v>
      </c>
      <c r="R6" s="2">
        <v>37154</v>
      </c>
    </row>
    <row r="7" spans="1:19">
      <c r="A7" s="2" t="s">
        <v>6</v>
      </c>
      <c r="B7" s="2">
        <v>30726</v>
      </c>
      <c r="D7" s="2">
        <v>31729</v>
      </c>
      <c r="F7" s="2">
        <v>30262</v>
      </c>
      <c r="H7" s="2">
        <v>30863</v>
      </c>
      <c r="J7" s="2">
        <v>31817</v>
      </c>
      <c r="L7" s="2">
        <v>30483</v>
      </c>
      <c r="N7" s="2">
        <v>30770</v>
      </c>
      <c r="P7" s="2">
        <v>31703</v>
      </c>
      <c r="R7" s="2">
        <v>30314</v>
      </c>
    </row>
    <row r="9" spans="1:19">
      <c r="A9" s="2" t="s">
        <v>7</v>
      </c>
      <c r="B9" s="2" t="s">
        <v>848</v>
      </c>
      <c r="C9" s="2" t="s">
        <v>849</v>
      </c>
      <c r="D9" s="2" t="s">
        <v>850</v>
      </c>
      <c r="E9" s="2" t="s">
        <v>193</v>
      </c>
      <c r="F9" s="2" t="s">
        <v>851</v>
      </c>
      <c r="G9" s="2" t="s">
        <v>852</v>
      </c>
      <c r="H9" s="2" t="s">
        <v>853</v>
      </c>
      <c r="I9" s="2" t="s">
        <v>238</v>
      </c>
      <c r="J9" s="2" t="s">
        <v>854</v>
      </c>
      <c r="K9" s="2" t="s">
        <v>446</v>
      </c>
      <c r="L9" s="2" t="s">
        <v>855</v>
      </c>
      <c r="M9" s="2" t="s">
        <v>856</v>
      </c>
      <c r="N9" s="2" t="s">
        <v>857</v>
      </c>
      <c r="O9" s="2" t="s">
        <v>444</v>
      </c>
      <c r="P9" s="2" t="s">
        <v>858</v>
      </c>
      <c r="Q9" s="2" t="s">
        <v>247</v>
      </c>
      <c r="R9" s="2" t="s">
        <v>859</v>
      </c>
      <c r="S9" s="2" t="s">
        <v>123</v>
      </c>
    </row>
    <row r="10" spans="1:19">
      <c r="A10" s="2" t="s">
        <v>14</v>
      </c>
      <c r="B10" s="2" t="s">
        <v>860</v>
      </c>
      <c r="C10" s="2" t="s">
        <v>105</v>
      </c>
      <c r="D10" s="2" t="s">
        <v>861</v>
      </c>
      <c r="E10" s="2" t="s">
        <v>107</v>
      </c>
      <c r="F10" s="2" t="s">
        <v>862</v>
      </c>
      <c r="G10" s="2" t="s">
        <v>209</v>
      </c>
      <c r="H10" s="2" t="s">
        <v>863</v>
      </c>
      <c r="I10" s="2" t="s">
        <v>225</v>
      </c>
      <c r="J10" s="2" t="s">
        <v>864</v>
      </c>
      <c r="K10" s="2" t="s">
        <v>107</v>
      </c>
      <c r="L10" s="2" t="s">
        <v>865</v>
      </c>
      <c r="M10" s="2" t="s">
        <v>209</v>
      </c>
      <c r="N10" s="2" t="s">
        <v>866</v>
      </c>
      <c r="O10" s="2" t="s">
        <v>225</v>
      </c>
      <c r="P10" s="2" t="s">
        <v>867</v>
      </c>
      <c r="Q10" s="2" t="s">
        <v>107</v>
      </c>
      <c r="R10" s="2" t="s">
        <v>868</v>
      </c>
      <c r="S10" s="2" t="s">
        <v>209</v>
      </c>
    </row>
    <row r="11" spans="1:19">
      <c r="A11" s="2" t="s">
        <v>21</v>
      </c>
      <c r="B11" s="2" t="s">
        <v>869</v>
      </c>
      <c r="C11" s="2" t="s">
        <v>156</v>
      </c>
      <c r="D11" s="2" t="s">
        <v>870</v>
      </c>
      <c r="E11" s="2" t="s">
        <v>398</v>
      </c>
      <c r="F11" s="2" t="s">
        <v>871</v>
      </c>
      <c r="G11" s="2" t="s">
        <v>872</v>
      </c>
      <c r="H11" s="2" t="s">
        <v>873</v>
      </c>
      <c r="I11" s="2" t="s">
        <v>479</v>
      </c>
      <c r="J11" s="2" t="s">
        <v>874</v>
      </c>
      <c r="K11" s="2" t="s">
        <v>187</v>
      </c>
      <c r="L11" s="2" t="s">
        <v>875</v>
      </c>
      <c r="M11" s="2" t="s">
        <v>876</v>
      </c>
      <c r="N11" s="2" t="s">
        <v>877</v>
      </c>
      <c r="O11" s="2" t="s">
        <v>878</v>
      </c>
      <c r="P11" s="2" t="s">
        <v>879</v>
      </c>
      <c r="Q11" s="2" t="s">
        <v>238</v>
      </c>
      <c r="R11" s="2" t="s">
        <v>880</v>
      </c>
      <c r="S11" s="2" t="s">
        <v>881</v>
      </c>
    </row>
    <row r="12" spans="1:19">
      <c r="A12" s="2" t="s">
        <v>28</v>
      </c>
      <c r="B12" s="2" t="s">
        <v>882</v>
      </c>
      <c r="C12" s="2" t="s">
        <v>115</v>
      </c>
      <c r="D12" s="2" t="s">
        <v>883</v>
      </c>
      <c r="E12" s="2" t="s">
        <v>115</v>
      </c>
      <c r="F12" s="2" t="s">
        <v>884</v>
      </c>
      <c r="G12" s="2" t="s">
        <v>268</v>
      </c>
      <c r="H12" s="2" t="s">
        <v>885</v>
      </c>
      <c r="I12" s="2" t="s">
        <v>115</v>
      </c>
      <c r="J12" s="2" t="s">
        <v>886</v>
      </c>
      <c r="K12" s="2" t="s">
        <v>515</v>
      </c>
      <c r="L12" s="2" t="s">
        <v>887</v>
      </c>
      <c r="M12" s="2" t="s">
        <v>268</v>
      </c>
      <c r="N12" s="2" t="s">
        <v>888</v>
      </c>
      <c r="O12" s="2" t="s">
        <v>115</v>
      </c>
      <c r="P12" s="2" t="s">
        <v>889</v>
      </c>
      <c r="Q12" s="2" t="s">
        <v>115</v>
      </c>
      <c r="R12" s="2" t="s">
        <v>890</v>
      </c>
      <c r="S12" s="2" t="s">
        <v>268</v>
      </c>
    </row>
    <row r="13" spans="1:19">
      <c r="A13" s="2" t="s">
        <v>34</v>
      </c>
      <c r="B13" s="2" t="s">
        <v>891</v>
      </c>
      <c r="C13" s="2" t="s">
        <v>892</v>
      </c>
      <c r="D13" s="2" t="s">
        <v>893</v>
      </c>
      <c r="E13" s="2" t="s">
        <v>125</v>
      </c>
      <c r="F13" s="2" t="s">
        <v>894</v>
      </c>
      <c r="G13" s="2" t="s">
        <v>629</v>
      </c>
      <c r="H13" s="2" t="s">
        <v>895</v>
      </c>
      <c r="I13" s="2" t="s">
        <v>127</v>
      </c>
      <c r="J13" s="2" t="s">
        <v>525</v>
      </c>
      <c r="K13" s="2" t="s">
        <v>526</v>
      </c>
      <c r="L13" s="2" t="s">
        <v>896</v>
      </c>
      <c r="M13" s="2" t="s">
        <v>897</v>
      </c>
      <c r="N13" s="2" t="s">
        <v>898</v>
      </c>
      <c r="O13" s="2" t="s">
        <v>892</v>
      </c>
      <c r="P13" s="2" t="s">
        <v>899</v>
      </c>
      <c r="Q13" s="2" t="s">
        <v>276</v>
      </c>
      <c r="R13" s="2" t="s">
        <v>900</v>
      </c>
      <c r="S13" s="2" t="s">
        <v>901</v>
      </c>
    </row>
    <row r="14" spans="1:19">
      <c r="A14" s="2" t="s">
        <v>40</v>
      </c>
      <c r="B14" s="2" t="s">
        <v>902</v>
      </c>
      <c r="C14" s="2" t="s">
        <v>278</v>
      </c>
      <c r="D14" s="2" t="s">
        <v>903</v>
      </c>
      <c r="E14" s="2" t="s">
        <v>308</v>
      </c>
      <c r="F14" s="2" t="s">
        <v>904</v>
      </c>
      <c r="G14" s="2" t="s">
        <v>280</v>
      </c>
      <c r="H14" s="2" t="s">
        <v>905</v>
      </c>
      <c r="I14" s="2" t="s">
        <v>278</v>
      </c>
      <c r="J14" s="2" t="s">
        <v>906</v>
      </c>
      <c r="K14" s="2" t="s">
        <v>39</v>
      </c>
      <c r="L14" s="2" t="s">
        <v>907</v>
      </c>
      <c r="M14" s="2" t="s">
        <v>282</v>
      </c>
      <c r="N14" s="2" t="s">
        <v>908</v>
      </c>
      <c r="O14" s="2" t="s">
        <v>278</v>
      </c>
      <c r="P14" s="2" t="s">
        <v>909</v>
      </c>
      <c r="Q14" s="2" t="s">
        <v>82</v>
      </c>
      <c r="R14" s="2" t="s">
        <v>910</v>
      </c>
      <c r="S14" s="2" t="s">
        <v>282</v>
      </c>
    </row>
    <row r="16" spans="1:19">
      <c r="A16" s="2" t="s">
        <v>47</v>
      </c>
      <c r="B16" s="2">
        <v>4058</v>
      </c>
      <c r="D16" s="2">
        <v>4320</v>
      </c>
      <c r="F16" s="2">
        <v>3931</v>
      </c>
      <c r="H16" s="2">
        <v>4099</v>
      </c>
      <c r="J16" s="2">
        <v>4323</v>
      </c>
      <c r="L16" s="2">
        <v>3998</v>
      </c>
      <c r="N16" s="2">
        <v>4087</v>
      </c>
      <c r="P16" s="2">
        <v>4315</v>
      </c>
      <c r="R16" s="2">
        <v>3963</v>
      </c>
    </row>
    <row r="17" spans="1:19">
      <c r="A17" s="2" t="s">
        <v>48</v>
      </c>
      <c r="B17" s="2" t="s">
        <v>911</v>
      </c>
      <c r="C17" s="2" t="s">
        <v>912</v>
      </c>
      <c r="D17" s="2" t="s">
        <v>913</v>
      </c>
      <c r="E17" s="2" t="s">
        <v>580</v>
      </c>
      <c r="F17" s="2" t="s">
        <v>914</v>
      </c>
      <c r="G17" s="2" t="s">
        <v>915</v>
      </c>
      <c r="H17" s="2" t="s">
        <v>916</v>
      </c>
      <c r="I17" s="2" t="s">
        <v>917</v>
      </c>
      <c r="J17" s="2" t="s">
        <v>918</v>
      </c>
      <c r="K17" s="2" t="s">
        <v>919</v>
      </c>
      <c r="L17" s="2" t="s">
        <v>920</v>
      </c>
      <c r="M17" s="2" t="s">
        <v>921</v>
      </c>
      <c r="N17" s="2" t="s">
        <v>922</v>
      </c>
      <c r="O17" s="2" t="s">
        <v>923</v>
      </c>
      <c r="P17" s="2" t="s">
        <v>924</v>
      </c>
      <c r="Q17" s="2" t="s">
        <v>580</v>
      </c>
      <c r="R17" s="2" t="s">
        <v>925</v>
      </c>
      <c r="S17" s="2" t="s">
        <v>142</v>
      </c>
    </row>
    <row r="18" spans="1:19">
      <c r="A18" s="2" t="s">
        <v>574</v>
      </c>
      <c r="B18" s="2" t="s">
        <v>926</v>
      </c>
      <c r="C18" s="2" t="s">
        <v>342</v>
      </c>
      <c r="D18" s="2" t="s">
        <v>927</v>
      </c>
      <c r="E18" s="2" t="s">
        <v>928</v>
      </c>
      <c r="F18" s="2" t="s">
        <v>929</v>
      </c>
      <c r="G18" s="2" t="s">
        <v>930</v>
      </c>
      <c r="H18" s="2" t="s">
        <v>931</v>
      </c>
      <c r="I18" s="2" t="s">
        <v>607</v>
      </c>
      <c r="J18" s="2" t="s">
        <v>932</v>
      </c>
      <c r="K18" s="2" t="s">
        <v>928</v>
      </c>
      <c r="L18" s="2" t="s">
        <v>933</v>
      </c>
      <c r="M18" s="2" t="s">
        <v>917</v>
      </c>
      <c r="N18" s="2" t="s">
        <v>934</v>
      </c>
      <c r="O18" s="2" t="s">
        <v>935</v>
      </c>
      <c r="P18" s="2" t="s">
        <v>936</v>
      </c>
      <c r="Q18" s="2" t="s">
        <v>937</v>
      </c>
      <c r="R18" s="2" t="s">
        <v>938</v>
      </c>
      <c r="S18" s="2" t="s">
        <v>912</v>
      </c>
    </row>
    <row r="19" spans="1:19">
      <c r="A19" s="2" t="s">
        <v>62</v>
      </c>
      <c r="B19" s="2" t="s">
        <v>939</v>
      </c>
      <c r="C19" s="2" t="s">
        <v>940</v>
      </c>
      <c r="D19" s="2" t="s">
        <v>941</v>
      </c>
      <c r="E19" s="2" t="s">
        <v>798</v>
      </c>
      <c r="F19" s="2" t="s">
        <v>942</v>
      </c>
      <c r="G19" s="2" t="s">
        <v>338</v>
      </c>
      <c r="H19" s="2" t="s">
        <v>943</v>
      </c>
      <c r="I19" s="2" t="s">
        <v>322</v>
      </c>
      <c r="J19" s="2" t="s">
        <v>944</v>
      </c>
      <c r="K19" s="2" t="s">
        <v>945</v>
      </c>
      <c r="L19" s="2" t="s">
        <v>946</v>
      </c>
      <c r="M19" s="2" t="s">
        <v>937</v>
      </c>
      <c r="N19" s="2" t="s">
        <v>947</v>
      </c>
      <c r="O19" s="2" t="s">
        <v>322</v>
      </c>
      <c r="P19" s="2" t="s">
        <v>948</v>
      </c>
      <c r="Q19" s="2" t="s">
        <v>331</v>
      </c>
      <c r="R19" s="2" t="s">
        <v>949</v>
      </c>
      <c r="S19" s="10" t="s">
        <v>344</v>
      </c>
    </row>
    <row r="22" spans="1:19">
      <c r="A22" s="2" t="s">
        <v>69</v>
      </c>
    </row>
    <row r="24" spans="1:19">
      <c r="A24" s="2" t="s">
        <v>70</v>
      </c>
      <c r="B24" s="2">
        <v>6389</v>
      </c>
      <c r="D24" s="2">
        <v>6514</v>
      </c>
      <c r="F24" s="2">
        <v>6393</v>
      </c>
      <c r="H24" s="2">
        <v>6399</v>
      </c>
      <c r="J24" s="2">
        <v>6536</v>
      </c>
      <c r="L24" s="2">
        <v>6400</v>
      </c>
      <c r="N24" s="2">
        <v>6392</v>
      </c>
      <c r="P24" s="2">
        <v>6496</v>
      </c>
      <c r="R24" s="2">
        <v>6396</v>
      </c>
    </row>
    <row r="25" spans="1:19">
      <c r="A25" s="2" t="s">
        <v>71</v>
      </c>
      <c r="B25" s="2">
        <v>6162</v>
      </c>
      <c r="D25" s="2">
        <v>6275</v>
      </c>
      <c r="F25" s="2">
        <v>6128</v>
      </c>
      <c r="H25" s="2">
        <v>6179</v>
      </c>
      <c r="J25" s="2">
        <v>6291</v>
      </c>
      <c r="L25" s="2">
        <v>6153</v>
      </c>
      <c r="N25" s="2">
        <v>6164</v>
      </c>
      <c r="P25" s="2">
        <v>6266</v>
      </c>
      <c r="R25" s="2">
        <v>6140</v>
      </c>
    </row>
    <row r="26" spans="1:19">
      <c r="A26" s="2" t="s">
        <v>72</v>
      </c>
      <c r="B26" s="2">
        <v>36871</v>
      </c>
      <c r="D26" s="2">
        <v>38018</v>
      </c>
      <c r="F26" s="2">
        <v>36447</v>
      </c>
      <c r="H26" s="2">
        <v>37028</v>
      </c>
      <c r="J26" s="2">
        <v>38137</v>
      </c>
      <c r="L26" s="2">
        <v>36677</v>
      </c>
      <c r="N26" s="2">
        <v>36914</v>
      </c>
      <c r="P26" s="2">
        <v>37974</v>
      </c>
      <c r="R26" s="2">
        <v>36499</v>
      </c>
    </row>
    <row r="27" spans="1:19">
      <c r="A27" s="2" t="s">
        <v>73</v>
      </c>
      <c r="B27" s="2">
        <v>30440</v>
      </c>
      <c r="D27" s="2">
        <v>31411</v>
      </c>
      <c r="F27" s="2">
        <v>29997</v>
      </c>
      <c r="H27" s="2">
        <v>30568</v>
      </c>
      <c r="J27" s="2">
        <v>31488</v>
      </c>
      <c r="L27" s="2">
        <v>30211</v>
      </c>
      <c r="N27" s="2">
        <v>30478</v>
      </c>
      <c r="P27" s="2">
        <v>31389</v>
      </c>
      <c r="R27" s="2">
        <v>30050</v>
      </c>
    </row>
    <row r="28" spans="1:19">
      <c r="A28" s="2" t="s">
        <v>74</v>
      </c>
      <c r="B28" s="2">
        <v>40288</v>
      </c>
      <c r="D28" s="2">
        <v>40935</v>
      </c>
      <c r="F28" s="2">
        <v>40038</v>
      </c>
      <c r="H28" s="2">
        <v>40344</v>
      </c>
      <c r="J28" s="2">
        <v>40993</v>
      </c>
      <c r="L28" s="2">
        <v>40135</v>
      </c>
      <c r="N28" s="2">
        <v>40289</v>
      </c>
      <c r="P28" s="2">
        <v>40840</v>
      </c>
      <c r="R28" s="2">
        <v>40086</v>
      </c>
    </row>
    <row r="29" spans="1:19">
      <c r="A29" s="2" t="s">
        <v>75</v>
      </c>
      <c r="B29" s="2">
        <v>34042</v>
      </c>
      <c r="D29" s="2">
        <v>34571</v>
      </c>
      <c r="F29" s="2">
        <v>38825</v>
      </c>
      <c r="H29" s="2">
        <v>34081</v>
      </c>
      <c r="J29" s="2">
        <v>31488</v>
      </c>
      <c r="L29" s="2">
        <v>33897</v>
      </c>
      <c r="N29" s="2">
        <v>34040</v>
      </c>
      <c r="P29" s="2">
        <v>34485</v>
      </c>
      <c r="R29" s="2">
        <v>33861</v>
      </c>
    </row>
    <row r="31" spans="1:19">
      <c r="A31" s="2" t="s">
        <v>7</v>
      </c>
      <c r="B31" s="2" t="s">
        <v>950</v>
      </c>
      <c r="C31" s="2" t="s">
        <v>366</v>
      </c>
      <c r="D31" s="2" t="s">
        <v>951</v>
      </c>
      <c r="E31" s="2" t="s">
        <v>371</v>
      </c>
      <c r="F31" s="2" t="s">
        <v>952</v>
      </c>
      <c r="G31" s="2" t="s">
        <v>158</v>
      </c>
      <c r="H31" s="2" t="s">
        <v>953</v>
      </c>
      <c r="I31" s="2" t="s">
        <v>954</v>
      </c>
      <c r="J31" s="2" t="s">
        <v>955</v>
      </c>
      <c r="K31" s="2" t="s">
        <v>80</v>
      </c>
      <c r="L31" s="2" t="s">
        <v>956</v>
      </c>
      <c r="M31" s="2" t="s">
        <v>419</v>
      </c>
      <c r="N31" s="2" t="s">
        <v>957</v>
      </c>
      <c r="O31" s="2" t="s">
        <v>958</v>
      </c>
      <c r="P31" s="2" t="s">
        <v>959</v>
      </c>
      <c r="Q31" s="2" t="s">
        <v>80</v>
      </c>
      <c r="R31" s="2" t="s">
        <v>960</v>
      </c>
      <c r="S31" s="2" t="s">
        <v>158</v>
      </c>
    </row>
    <row r="32" spans="1:19">
      <c r="A32" s="2" t="s">
        <v>14</v>
      </c>
      <c r="B32" s="2" t="s">
        <v>961</v>
      </c>
      <c r="C32" s="2" t="s">
        <v>84</v>
      </c>
      <c r="D32" s="2" t="s">
        <v>962</v>
      </c>
      <c r="E32" s="2" t="s">
        <v>84</v>
      </c>
      <c r="F32" s="2" t="s">
        <v>963</v>
      </c>
      <c r="G32" s="2" t="s">
        <v>84</v>
      </c>
      <c r="H32" s="2" t="s">
        <v>964</v>
      </c>
      <c r="I32" s="2" t="s">
        <v>84</v>
      </c>
      <c r="J32" s="2" t="s">
        <v>965</v>
      </c>
      <c r="K32" s="2" t="s">
        <v>84</v>
      </c>
      <c r="L32" s="2" t="s">
        <v>966</v>
      </c>
      <c r="M32" s="2" t="s">
        <v>77</v>
      </c>
      <c r="N32" s="2" t="s">
        <v>967</v>
      </c>
      <c r="O32" s="2" t="s">
        <v>84</v>
      </c>
      <c r="P32" s="2" t="s">
        <v>968</v>
      </c>
      <c r="Q32" s="2" t="s">
        <v>84</v>
      </c>
      <c r="R32" s="2" t="s">
        <v>969</v>
      </c>
      <c r="S32" s="2" t="s">
        <v>84</v>
      </c>
    </row>
    <row r="33" spans="1:19">
      <c r="A33" s="2" t="s">
        <v>21</v>
      </c>
      <c r="B33" s="2" t="s">
        <v>970</v>
      </c>
      <c r="C33" s="2" t="s">
        <v>16</v>
      </c>
      <c r="D33" s="2" t="s">
        <v>971</v>
      </c>
      <c r="E33" s="2" t="s">
        <v>90</v>
      </c>
      <c r="F33" s="2" t="s">
        <v>972</v>
      </c>
      <c r="G33" s="2" t="s">
        <v>496</v>
      </c>
      <c r="H33" s="2" t="s">
        <v>973</v>
      </c>
      <c r="I33" s="2" t="s">
        <v>249</v>
      </c>
      <c r="J33" s="2" t="s">
        <v>974</v>
      </c>
      <c r="K33" s="2" t="s">
        <v>101</v>
      </c>
      <c r="L33" s="2" t="s">
        <v>975</v>
      </c>
      <c r="M33" s="2" t="s">
        <v>976</v>
      </c>
      <c r="N33" s="2" t="s">
        <v>977</v>
      </c>
      <c r="O33" s="2" t="s">
        <v>247</v>
      </c>
      <c r="P33" s="2" t="s">
        <v>978</v>
      </c>
      <c r="Q33" s="2" t="s">
        <v>666</v>
      </c>
      <c r="R33" s="2" t="s">
        <v>979</v>
      </c>
      <c r="S33" s="2" t="s">
        <v>496</v>
      </c>
    </row>
    <row r="34" spans="1:19">
      <c r="A34" s="2" t="s">
        <v>28</v>
      </c>
      <c r="B34" s="2" t="s">
        <v>980</v>
      </c>
      <c r="C34" s="2" t="s">
        <v>691</v>
      </c>
      <c r="D34" s="2" t="s">
        <v>981</v>
      </c>
      <c r="E34" s="2" t="s">
        <v>94</v>
      </c>
      <c r="F34" s="2" t="s">
        <v>982</v>
      </c>
      <c r="G34" s="2" t="s">
        <v>94</v>
      </c>
      <c r="H34" s="2" t="s">
        <v>983</v>
      </c>
      <c r="I34" s="2" t="s">
        <v>691</v>
      </c>
      <c r="J34" s="2" t="s">
        <v>984</v>
      </c>
      <c r="K34" s="2" t="s">
        <v>691</v>
      </c>
      <c r="L34" s="2" t="s">
        <v>985</v>
      </c>
      <c r="M34" s="2" t="s">
        <v>691</v>
      </c>
      <c r="N34" s="2" t="s">
        <v>986</v>
      </c>
      <c r="O34" s="2" t="s">
        <v>94</v>
      </c>
      <c r="P34" s="2" t="s">
        <v>987</v>
      </c>
      <c r="Q34" s="2" t="s">
        <v>94</v>
      </c>
      <c r="R34" s="2" t="s">
        <v>988</v>
      </c>
      <c r="S34" s="2" t="s">
        <v>94</v>
      </c>
    </row>
  </sheetData>
  <sheetProtection selectLockedCells="1" selectUnlockedCells="1"/>
  <mergeCells count="6">
    <mergeCell ref="B3:G3"/>
    <mergeCell ref="H3:M3"/>
    <mergeCell ref="N3:S3"/>
    <mergeCell ref="N4:O4"/>
    <mergeCell ref="P4:Q4"/>
    <mergeCell ref="R4:S4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zoomScale="130" zoomScaleNormal="130" workbookViewId="0">
      <selection activeCell="K32" sqref="K32"/>
    </sheetView>
  </sheetViews>
  <sheetFormatPr baseColWidth="10" defaultRowHeight="13.2"/>
  <cols>
    <col min="1" max="256" width="9.77734375" style="2" customWidth="1"/>
    <col min="257" max="16384" width="11.5546875" style="2"/>
  </cols>
  <sheetData>
    <row r="1" spans="1:23" s="1" customFormat="1">
      <c r="A1" s="43" t="s">
        <v>989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3" spans="1:23">
      <c r="A3" s="2" t="s">
        <v>990</v>
      </c>
      <c r="B3"/>
    </row>
    <row r="5" spans="1:23" s="17" customFormat="1">
      <c r="C5" s="17" t="s">
        <v>991</v>
      </c>
      <c r="D5" s="17" t="s">
        <v>992</v>
      </c>
      <c r="E5" s="17" t="s">
        <v>40</v>
      </c>
      <c r="F5" s="17" t="s">
        <v>993</v>
      </c>
      <c r="H5" s="17" t="s">
        <v>994</v>
      </c>
      <c r="I5" s="17" t="s">
        <v>995</v>
      </c>
      <c r="J5" s="17" t="s">
        <v>996</v>
      </c>
      <c r="K5" s="17" t="s">
        <v>997</v>
      </c>
      <c r="L5" s="18"/>
      <c r="M5" s="18"/>
      <c r="N5" s="18"/>
      <c r="O5" s="17" t="s">
        <v>998</v>
      </c>
      <c r="P5" s="17" t="s">
        <v>992</v>
      </c>
      <c r="Q5" s="17" t="s">
        <v>40</v>
      </c>
      <c r="R5" s="17" t="s">
        <v>993</v>
      </c>
      <c r="T5" s="17" t="s">
        <v>994</v>
      </c>
      <c r="U5" s="17" t="s">
        <v>995</v>
      </c>
      <c r="V5" s="17" t="s">
        <v>996</v>
      </c>
      <c r="W5" s="17" t="s">
        <v>997</v>
      </c>
    </row>
    <row r="6" spans="1:23">
      <c r="A6" s="43" t="s">
        <v>999</v>
      </c>
      <c r="B6" s="8" t="s">
        <v>1000</v>
      </c>
      <c r="C6" s="2" t="s">
        <v>1001</v>
      </c>
      <c r="D6" s="2" t="s">
        <v>1002</v>
      </c>
      <c r="E6" s="2" t="s">
        <v>1003</v>
      </c>
      <c r="F6" s="2" t="s">
        <v>1004</v>
      </c>
      <c r="H6" s="2" t="s">
        <v>1005</v>
      </c>
      <c r="I6" s="2" t="s">
        <v>1006</v>
      </c>
      <c r="J6" s="2" t="s">
        <v>1007</v>
      </c>
      <c r="K6" s="2" t="s">
        <v>1008</v>
      </c>
      <c r="M6" s="44" t="s">
        <v>1009</v>
      </c>
      <c r="N6" s="8" t="s">
        <v>1000</v>
      </c>
      <c r="O6" s="2" t="s">
        <v>1010</v>
      </c>
      <c r="P6" s="2" t="s">
        <v>1011</v>
      </c>
      <c r="Q6" s="2">
        <v>7</v>
      </c>
      <c r="R6" s="2" t="s">
        <v>1012</v>
      </c>
      <c r="T6" s="2" t="s">
        <v>1013</v>
      </c>
      <c r="U6" s="2" t="s">
        <v>1006</v>
      </c>
      <c r="V6" s="2" t="s">
        <v>1014</v>
      </c>
      <c r="W6" s="2" t="s">
        <v>1015</v>
      </c>
    </row>
    <row r="7" spans="1:23">
      <c r="A7" s="43"/>
      <c r="C7" s="2">
        <v>4810</v>
      </c>
      <c r="D7" s="2">
        <v>306</v>
      </c>
      <c r="E7" s="2">
        <v>464</v>
      </c>
      <c r="F7" s="2">
        <v>4810</v>
      </c>
      <c r="H7" s="2">
        <v>2460</v>
      </c>
      <c r="I7" s="2">
        <v>181</v>
      </c>
      <c r="J7" s="2">
        <v>2880</v>
      </c>
      <c r="K7" s="2">
        <v>183</v>
      </c>
      <c r="M7" s="44"/>
      <c r="O7" s="2">
        <v>4526</v>
      </c>
      <c r="P7" s="2">
        <v>309</v>
      </c>
      <c r="Q7" s="2">
        <v>490</v>
      </c>
      <c r="R7" s="2">
        <v>4526</v>
      </c>
      <c r="T7" s="2">
        <v>2521</v>
      </c>
      <c r="U7" s="2">
        <v>181</v>
      </c>
      <c r="V7" s="2">
        <v>2913</v>
      </c>
      <c r="W7" s="2">
        <v>226</v>
      </c>
    </row>
    <row r="8" spans="1:23">
      <c r="A8" s="43"/>
      <c r="B8" s="8" t="s">
        <v>1016</v>
      </c>
      <c r="C8" s="2" t="s">
        <v>1017</v>
      </c>
      <c r="D8" s="2">
        <v>5</v>
      </c>
      <c r="E8" s="2" t="s">
        <v>1018</v>
      </c>
      <c r="F8" s="2" t="s">
        <v>1019</v>
      </c>
      <c r="H8" s="2" t="s">
        <v>1020</v>
      </c>
      <c r="I8" s="2" t="s">
        <v>1006</v>
      </c>
      <c r="J8" s="2" t="s">
        <v>1021</v>
      </c>
      <c r="K8" s="2" t="s">
        <v>1015</v>
      </c>
      <c r="M8" s="44"/>
      <c r="N8" s="8" t="s">
        <v>1016</v>
      </c>
      <c r="O8" s="2" t="s">
        <v>1022</v>
      </c>
      <c r="P8" s="2" t="s">
        <v>1023</v>
      </c>
      <c r="Q8" s="2" t="s">
        <v>1018</v>
      </c>
      <c r="R8" s="2" t="s">
        <v>1024</v>
      </c>
      <c r="T8" s="2" t="s">
        <v>1025</v>
      </c>
      <c r="U8" s="2" t="s">
        <v>1006</v>
      </c>
      <c r="V8" s="2" t="s">
        <v>1026</v>
      </c>
      <c r="W8" s="2" t="s">
        <v>1027</v>
      </c>
    </row>
    <row r="9" spans="1:23">
      <c r="A9" s="43"/>
      <c r="C9" s="2">
        <v>4851</v>
      </c>
      <c r="D9" s="2">
        <v>343</v>
      </c>
      <c r="E9" s="2">
        <v>419</v>
      </c>
      <c r="F9" s="2">
        <v>4851</v>
      </c>
      <c r="H9" s="2">
        <v>2242</v>
      </c>
      <c r="I9" s="2">
        <v>185</v>
      </c>
      <c r="J9" s="2">
        <v>2578</v>
      </c>
      <c r="K9" s="2">
        <v>213</v>
      </c>
      <c r="M9" s="44"/>
      <c r="O9" s="2">
        <v>4043</v>
      </c>
      <c r="P9" s="2">
        <v>446</v>
      </c>
      <c r="Q9" s="2">
        <v>403</v>
      </c>
      <c r="R9" s="2">
        <v>4043</v>
      </c>
      <c r="T9" s="2">
        <v>3035</v>
      </c>
      <c r="U9" s="2">
        <v>189</v>
      </c>
      <c r="V9" s="2">
        <v>3489</v>
      </c>
      <c r="W9" s="2">
        <v>244</v>
      </c>
    </row>
    <row r="10" spans="1:23">
      <c r="A10" s="43"/>
      <c r="B10" s="8" t="s">
        <v>1028</v>
      </c>
      <c r="C10" s="2">
        <v>71</v>
      </c>
      <c r="D10" s="2">
        <v>5</v>
      </c>
      <c r="E10" s="2" t="s">
        <v>1013</v>
      </c>
      <c r="F10" s="2" t="s">
        <v>1029</v>
      </c>
      <c r="H10" s="2" t="s">
        <v>1030</v>
      </c>
      <c r="I10" s="2" t="s">
        <v>1031</v>
      </c>
      <c r="J10" s="2" t="s">
        <v>1032</v>
      </c>
      <c r="K10" s="2" t="s">
        <v>1008</v>
      </c>
      <c r="M10" s="44"/>
      <c r="N10" s="8" t="s">
        <v>1028</v>
      </c>
      <c r="O10" s="2" t="s">
        <v>1033</v>
      </c>
      <c r="P10" s="2">
        <v>4</v>
      </c>
      <c r="Q10" s="2" t="s">
        <v>1025</v>
      </c>
      <c r="R10" s="2" t="s">
        <v>1034</v>
      </c>
      <c r="T10" s="2" t="s">
        <v>1030</v>
      </c>
      <c r="U10" s="2" t="s">
        <v>1031</v>
      </c>
      <c r="V10" s="2" t="s">
        <v>1035</v>
      </c>
      <c r="W10" s="2" t="s">
        <v>1008</v>
      </c>
    </row>
    <row r="11" spans="1:23">
      <c r="A11" s="43"/>
      <c r="C11" s="2">
        <v>4827</v>
      </c>
      <c r="D11" s="2">
        <v>339</v>
      </c>
      <c r="E11" s="2">
        <v>437</v>
      </c>
      <c r="F11" s="2">
        <v>4827</v>
      </c>
      <c r="H11" s="2">
        <v>2317</v>
      </c>
      <c r="I11" s="2">
        <v>172</v>
      </c>
      <c r="J11" s="2">
        <v>2620</v>
      </c>
      <c r="K11" s="2">
        <v>179</v>
      </c>
      <c r="M11" s="44"/>
      <c r="O11" s="2">
        <v>4632</v>
      </c>
      <c r="P11" s="2">
        <v>266</v>
      </c>
      <c r="Q11" s="2">
        <v>544</v>
      </c>
      <c r="R11" s="2">
        <v>4632</v>
      </c>
      <c r="T11" s="2">
        <v>2290</v>
      </c>
      <c r="U11" s="2">
        <v>167</v>
      </c>
      <c r="V11" s="2">
        <v>2739</v>
      </c>
      <c r="W11" s="2">
        <v>198</v>
      </c>
    </row>
    <row r="12" spans="1:23">
      <c r="A12" s="43"/>
      <c r="B12" s="8" t="s">
        <v>1036</v>
      </c>
      <c r="C12" s="2" t="s">
        <v>1037</v>
      </c>
      <c r="D12" s="2" t="s">
        <v>1005</v>
      </c>
      <c r="E12" s="2">
        <v>6</v>
      </c>
      <c r="F12" s="2" t="s">
        <v>1038</v>
      </c>
      <c r="H12" s="2" t="s">
        <v>1039</v>
      </c>
      <c r="I12" s="2" t="s">
        <v>1006</v>
      </c>
      <c r="J12" s="2" t="s">
        <v>1040</v>
      </c>
      <c r="K12" s="2" t="s">
        <v>1008</v>
      </c>
      <c r="M12" s="44"/>
      <c r="N12" s="8" t="s">
        <v>1036</v>
      </c>
      <c r="O12" s="2" t="s">
        <v>1041</v>
      </c>
      <c r="P12" s="2" t="s">
        <v>1042</v>
      </c>
      <c r="Q12" s="2" t="s">
        <v>1018</v>
      </c>
      <c r="R12" s="2" t="s">
        <v>1043</v>
      </c>
      <c r="T12" s="2" t="s">
        <v>1044</v>
      </c>
      <c r="U12" s="2" t="s">
        <v>1006</v>
      </c>
      <c r="V12" s="2" t="s">
        <v>1045</v>
      </c>
      <c r="W12" s="2" t="s">
        <v>1027</v>
      </c>
    </row>
    <row r="13" spans="1:23">
      <c r="A13" s="43"/>
      <c r="C13" s="2">
        <v>4598</v>
      </c>
      <c r="D13" s="2">
        <v>394</v>
      </c>
      <c r="E13" s="2">
        <v>424</v>
      </c>
      <c r="F13" s="2">
        <v>4598</v>
      </c>
      <c r="H13" s="2">
        <v>2719</v>
      </c>
      <c r="I13" s="2">
        <v>182</v>
      </c>
      <c r="J13" s="2">
        <v>3093</v>
      </c>
      <c r="K13" s="2">
        <v>185</v>
      </c>
      <c r="M13" s="44"/>
      <c r="O13" s="2">
        <v>3857</v>
      </c>
      <c r="P13" s="2">
        <v>578</v>
      </c>
      <c r="Q13" s="2">
        <v>396</v>
      </c>
      <c r="R13" s="2">
        <v>3857</v>
      </c>
      <c r="T13" s="2">
        <v>3399</v>
      </c>
      <c r="U13" s="2">
        <v>191</v>
      </c>
      <c r="V13" s="2">
        <v>3857</v>
      </c>
      <c r="W13" s="2">
        <v>236</v>
      </c>
    </row>
    <row r="14" spans="1:23">
      <c r="A14" s="43"/>
      <c r="B14" s="8" t="s">
        <v>1046</v>
      </c>
      <c r="C14" s="2">
        <v>76</v>
      </c>
      <c r="D14" s="2" t="s">
        <v>1047</v>
      </c>
      <c r="E14" s="2" t="s">
        <v>1048</v>
      </c>
      <c r="F14" s="2">
        <v>79</v>
      </c>
      <c r="H14" s="2" t="s">
        <v>1002</v>
      </c>
      <c r="I14" s="2" t="s">
        <v>1006</v>
      </c>
      <c r="J14" s="2" t="s">
        <v>1049</v>
      </c>
      <c r="K14" s="2" t="s">
        <v>1050</v>
      </c>
      <c r="M14" s="44"/>
      <c r="N14" s="8" t="s">
        <v>1046</v>
      </c>
      <c r="O14" s="2" t="s">
        <v>1051</v>
      </c>
      <c r="P14" s="2" t="s">
        <v>1052</v>
      </c>
      <c r="Q14" s="2" t="s">
        <v>1035</v>
      </c>
      <c r="R14" s="2" t="s">
        <v>1053</v>
      </c>
      <c r="T14" s="2">
        <v>5</v>
      </c>
      <c r="U14" s="2" t="s">
        <v>1006</v>
      </c>
      <c r="V14" s="2">
        <v>7</v>
      </c>
      <c r="W14" s="2" t="s">
        <v>1027</v>
      </c>
    </row>
    <row r="15" spans="1:23">
      <c r="A15" s="43"/>
      <c r="C15" s="2">
        <v>5167</v>
      </c>
      <c r="D15" s="2">
        <v>251</v>
      </c>
      <c r="E15" s="2">
        <v>507</v>
      </c>
      <c r="F15" s="2">
        <v>5167</v>
      </c>
      <c r="H15" s="2">
        <v>1896</v>
      </c>
      <c r="I15" s="2">
        <v>209</v>
      </c>
      <c r="J15" s="2">
        <v>2227</v>
      </c>
      <c r="K15" s="2">
        <v>299</v>
      </c>
      <c r="M15" s="44"/>
      <c r="O15" s="2">
        <v>4853</v>
      </c>
      <c r="P15" s="2">
        <v>239</v>
      </c>
      <c r="Q15" s="2">
        <v>563</v>
      </c>
      <c r="R15" s="2">
        <v>4853</v>
      </c>
      <c r="T15" s="2">
        <v>2076</v>
      </c>
      <c r="U15" s="2">
        <v>180</v>
      </c>
      <c r="V15" s="2">
        <v>2455</v>
      </c>
      <c r="W15" s="2">
        <v>272</v>
      </c>
    </row>
    <row r="16" spans="1:23">
      <c r="U16" s="4"/>
    </row>
    <row r="17" spans="1:23">
      <c r="A17" s="43" t="s">
        <v>1054</v>
      </c>
      <c r="B17" s="8" t="s">
        <v>1000</v>
      </c>
      <c r="C17" s="2" t="s">
        <v>1001</v>
      </c>
      <c r="D17" s="2" t="s">
        <v>1055</v>
      </c>
      <c r="E17" s="2" t="s">
        <v>1056</v>
      </c>
      <c r="F17" s="2" t="s">
        <v>1057</v>
      </c>
      <c r="H17" s="2" t="s">
        <v>1005</v>
      </c>
      <c r="I17" s="2" t="s">
        <v>1031</v>
      </c>
      <c r="J17" s="2" t="s">
        <v>1007</v>
      </c>
      <c r="K17" s="2" t="s">
        <v>1006</v>
      </c>
      <c r="M17" s="44" t="s">
        <v>1058</v>
      </c>
      <c r="N17" s="8" t="s">
        <v>1000</v>
      </c>
      <c r="O17" s="2" t="s">
        <v>1059</v>
      </c>
      <c r="P17" s="2" t="s">
        <v>1060</v>
      </c>
      <c r="Q17" s="2" t="s">
        <v>1061</v>
      </c>
      <c r="R17" s="2" t="s">
        <v>1012</v>
      </c>
      <c r="T17" s="2" t="s">
        <v>1013</v>
      </c>
      <c r="U17" s="2" t="s">
        <v>1031</v>
      </c>
      <c r="V17" s="2" t="s">
        <v>1014</v>
      </c>
      <c r="W17" s="2" t="s">
        <v>1008</v>
      </c>
    </row>
    <row r="18" spans="1:23">
      <c r="A18" s="43"/>
      <c r="C18" s="2">
        <v>4809</v>
      </c>
      <c r="D18" s="2">
        <v>333</v>
      </c>
      <c r="E18" s="2">
        <v>446</v>
      </c>
      <c r="F18" s="2">
        <v>4809</v>
      </c>
      <c r="H18" s="2">
        <v>2442</v>
      </c>
      <c r="I18" s="2">
        <v>167</v>
      </c>
      <c r="J18" s="2">
        <v>2863</v>
      </c>
      <c r="K18" s="2">
        <v>151</v>
      </c>
      <c r="M18" s="44"/>
      <c r="O18" s="2">
        <v>4516</v>
      </c>
      <c r="P18" s="2">
        <v>321</v>
      </c>
      <c r="Q18" s="2">
        <v>491</v>
      </c>
      <c r="R18" s="2">
        <v>4516</v>
      </c>
      <c r="T18" s="2">
        <v>2520</v>
      </c>
      <c r="U18" s="2">
        <v>169</v>
      </c>
      <c r="V18" s="2">
        <v>2930</v>
      </c>
      <c r="W18" s="2">
        <v>176</v>
      </c>
    </row>
    <row r="19" spans="1:23">
      <c r="A19" s="43"/>
      <c r="B19" s="8" t="s">
        <v>1016</v>
      </c>
      <c r="C19" s="2" t="s">
        <v>1012</v>
      </c>
      <c r="D19" s="2" t="s">
        <v>1062</v>
      </c>
      <c r="E19" s="2" t="s">
        <v>1063</v>
      </c>
      <c r="F19" s="2" t="s">
        <v>1064</v>
      </c>
      <c r="H19" s="2" t="s">
        <v>1065</v>
      </c>
      <c r="I19" s="2" t="s">
        <v>1031</v>
      </c>
      <c r="J19" s="2" t="s">
        <v>1032</v>
      </c>
      <c r="K19" s="2" t="s">
        <v>1006</v>
      </c>
      <c r="M19" s="44"/>
      <c r="N19" s="8" t="s">
        <v>1016</v>
      </c>
      <c r="O19" s="2" t="s">
        <v>1066</v>
      </c>
      <c r="P19" s="2" t="s">
        <v>1067</v>
      </c>
      <c r="Q19" s="2" t="s">
        <v>1063</v>
      </c>
      <c r="R19" s="2" t="s">
        <v>1068</v>
      </c>
      <c r="T19" s="2" t="s">
        <v>1069</v>
      </c>
      <c r="U19" s="2" t="s">
        <v>1006</v>
      </c>
      <c r="V19" s="2" t="s">
        <v>1070</v>
      </c>
      <c r="W19" s="2" t="s">
        <v>1015</v>
      </c>
    </row>
    <row r="20" spans="1:23">
      <c r="A20" s="43"/>
      <c r="C20" s="2">
        <v>4858</v>
      </c>
      <c r="D20" s="2">
        <v>348</v>
      </c>
      <c r="E20" s="2">
        <v>425</v>
      </c>
      <c r="F20" s="2">
        <v>4858</v>
      </c>
      <c r="H20" s="2">
        <v>2277</v>
      </c>
      <c r="I20" s="2">
        <v>171</v>
      </c>
      <c r="J20" s="2">
        <v>2611</v>
      </c>
      <c r="K20" s="2">
        <v>159</v>
      </c>
      <c r="M20" s="44"/>
      <c r="O20" s="2">
        <v>4119</v>
      </c>
      <c r="P20" s="2">
        <v>449</v>
      </c>
      <c r="Q20" s="2">
        <v>407</v>
      </c>
      <c r="R20" s="2">
        <v>4119</v>
      </c>
      <c r="T20" s="2">
        <v>2862</v>
      </c>
      <c r="U20" s="2">
        <v>196</v>
      </c>
      <c r="V20" s="2">
        <v>3295</v>
      </c>
      <c r="W20" s="2">
        <v>216</v>
      </c>
    </row>
    <row r="21" spans="1:23">
      <c r="A21" s="43"/>
      <c r="B21" s="8" t="s">
        <v>1028</v>
      </c>
      <c r="C21" s="2" t="s">
        <v>1001</v>
      </c>
      <c r="D21" s="2" t="s">
        <v>1071</v>
      </c>
      <c r="E21" s="2" t="s">
        <v>1063</v>
      </c>
      <c r="F21" s="2" t="s">
        <v>1072</v>
      </c>
      <c r="H21" s="2" t="s">
        <v>1073</v>
      </c>
      <c r="I21" s="2" t="s">
        <v>1031</v>
      </c>
      <c r="J21" s="2" t="s">
        <v>1025</v>
      </c>
      <c r="K21" s="2" t="s">
        <v>1006</v>
      </c>
      <c r="M21" s="44"/>
      <c r="N21" s="8" t="s">
        <v>1028</v>
      </c>
      <c r="O21" s="2" t="s">
        <v>1074</v>
      </c>
      <c r="P21" s="2" t="s">
        <v>1075</v>
      </c>
      <c r="Q21" s="2" t="s">
        <v>1025</v>
      </c>
      <c r="R21" s="2" t="s">
        <v>1034</v>
      </c>
      <c r="T21" s="2" t="s">
        <v>1076</v>
      </c>
      <c r="U21" s="2" t="s">
        <v>1031</v>
      </c>
      <c r="V21" s="2" t="s">
        <v>1077</v>
      </c>
      <c r="W21" s="2" t="s">
        <v>1006</v>
      </c>
    </row>
    <row r="22" spans="1:23">
      <c r="A22" s="43"/>
      <c r="C22" s="2">
        <v>4810</v>
      </c>
      <c r="D22" s="2">
        <v>339</v>
      </c>
      <c r="E22" s="2">
        <v>428</v>
      </c>
      <c r="F22" s="2">
        <v>4810</v>
      </c>
      <c r="H22" s="2">
        <v>2350</v>
      </c>
      <c r="I22" s="2">
        <v>169</v>
      </c>
      <c r="J22" s="2">
        <v>2648</v>
      </c>
      <c r="K22" s="2">
        <v>149</v>
      </c>
      <c r="M22" s="44"/>
      <c r="O22" s="2">
        <v>4624</v>
      </c>
      <c r="P22" s="2">
        <v>278</v>
      </c>
      <c r="Q22" s="2">
        <v>538</v>
      </c>
      <c r="R22" s="2">
        <v>4624</v>
      </c>
      <c r="T22" s="2">
        <v>2361</v>
      </c>
      <c r="U22" s="2">
        <v>165</v>
      </c>
      <c r="V22" s="2">
        <v>2785</v>
      </c>
      <c r="W22" s="2">
        <v>173</v>
      </c>
    </row>
    <row r="23" spans="1:23">
      <c r="A23" s="43"/>
      <c r="B23" s="8" t="s">
        <v>1036</v>
      </c>
      <c r="C23" s="2" t="s">
        <v>1078</v>
      </c>
      <c r="D23" s="2" t="s">
        <v>1063</v>
      </c>
      <c r="E23" s="2" t="s">
        <v>1076</v>
      </c>
      <c r="F23" s="2" t="s">
        <v>1079</v>
      </c>
      <c r="H23" s="2" t="s">
        <v>1039</v>
      </c>
      <c r="I23" s="2" t="s">
        <v>1006</v>
      </c>
      <c r="J23" s="2" t="s">
        <v>1040</v>
      </c>
      <c r="K23" s="2" t="s">
        <v>1006</v>
      </c>
      <c r="M23" s="44"/>
      <c r="N23" s="8" t="s">
        <v>1036</v>
      </c>
      <c r="O23" s="2" t="s">
        <v>1080</v>
      </c>
      <c r="P23" s="2" t="s">
        <v>1081</v>
      </c>
      <c r="Q23" s="2" t="s">
        <v>1005</v>
      </c>
      <c r="R23" s="2" t="s">
        <v>1082</v>
      </c>
      <c r="T23" s="2" t="s">
        <v>1081</v>
      </c>
      <c r="U23" s="2" t="s">
        <v>1008</v>
      </c>
      <c r="V23" s="2" t="s">
        <v>1083</v>
      </c>
      <c r="W23" s="2" t="s">
        <v>1027</v>
      </c>
    </row>
    <row r="24" spans="1:23">
      <c r="A24" s="43"/>
      <c r="C24" s="2">
        <v>4594</v>
      </c>
      <c r="D24" s="2">
        <v>410</v>
      </c>
      <c r="E24" s="2">
        <v>401</v>
      </c>
      <c r="F24" s="2">
        <v>4594</v>
      </c>
      <c r="H24" s="2">
        <v>2710</v>
      </c>
      <c r="I24" s="2">
        <v>175</v>
      </c>
      <c r="J24" s="2">
        <v>3075</v>
      </c>
      <c r="K24" s="2">
        <v>154</v>
      </c>
      <c r="M24" s="44"/>
      <c r="O24" s="2">
        <v>3821</v>
      </c>
      <c r="P24" s="2">
        <v>592</v>
      </c>
      <c r="Q24" s="2">
        <v>386</v>
      </c>
      <c r="R24" s="2">
        <v>3821</v>
      </c>
      <c r="T24" s="2">
        <v>3533</v>
      </c>
      <c r="U24" s="2">
        <v>211</v>
      </c>
      <c r="V24" s="2">
        <v>3961</v>
      </c>
      <c r="W24" s="2">
        <v>243</v>
      </c>
    </row>
    <row r="25" spans="1:23">
      <c r="A25" s="43"/>
      <c r="B25" s="8" t="s">
        <v>1046</v>
      </c>
      <c r="C25" s="2" t="s">
        <v>1084</v>
      </c>
      <c r="D25" s="2" t="s">
        <v>1085</v>
      </c>
      <c r="E25" s="2" t="s">
        <v>1048</v>
      </c>
      <c r="F25" s="2" t="s">
        <v>1086</v>
      </c>
      <c r="H25" s="2" t="s">
        <v>1087</v>
      </c>
      <c r="I25" s="2" t="s">
        <v>1031</v>
      </c>
      <c r="J25" s="2" t="s">
        <v>1003</v>
      </c>
      <c r="K25" s="2" t="s">
        <v>1006</v>
      </c>
      <c r="M25" s="44"/>
      <c r="N25" s="8" t="s">
        <v>1046</v>
      </c>
      <c r="O25" s="2" t="s">
        <v>1088</v>
      </c>
      <c r="P25" s="2" t="s">
        <v>1085</v>
      </c>
      <c r="Q25" s="2" t="s">
        <v>1025</v>
      </c>
      <c r="R25" s="2" t="s">
        <v>1089</v>
      </c>
      <c r="T25" s="2" t="s">
        <v>1055</v>
      </c>
      <c r="U25" s="2" t="s">
        <v>1031</v>
      </c>
      <c r="V25" s="2" t="s">
        <v>1048</v>
      </c>
      <c r="W25" s="2" t="s">
        <v>1006</v>
      </c>
    </row>
    <row r="26" spans="1:23">
      <c r="C26" s="2">
        <v>5192</v>
      </c>
      <c r="D26" s="2">
        <v>261</v>
      </c>
      <c r="E26" s="2">
        <v>501</v>
      </c>
      <c r="F26" s="2">
        <v>5192</v>
      </c>
      <c r="H26" s="2">
        <v>1945</v>
      </c>
      <c r="I26" s="2">
        <v>175</v>
      </c>
      <c r="J26" s="2">
        <v>2261</v>
      </c>
      <c r="K26" s="2">
        <v>163</v>
      </c>
      <c r="M26" s="44"/>
      <c r="O26" s="2">
        <v>4869</v>
      </c>
      <c r="P26" s="2">
        <v>254</v>
      </c>
      <c r="Q26" s="2">
        <v>537</v>
      </c>
      <c r="R26" s="2">
        <v>4869</v>
      </c>
      <c r="T26" s="2">
        <v>2031</v>
      </c>
      <c r="U26" s="2">
        <v>164</v>
      </c>
      <c r="V26" s="2">
        <v>2408</v>
      </c>
      <c r="W26" s="2">
        <v>179</v>
      </c>
    </row>
    <row r="28" spans="1:23">
      <c r="A28" s="2" t="s">
        <v>1090</v>
      </c>
      <c r="N28" s="2" t="s">
        <v>1090</v>
      </c>
    </row>
  </sheetData>
  <sheetProtection selectLockedCells="1" selectUnlockedCells="1"/>
  <mergeCells count="5">
    <mergeCell ref="A1:K1"/>
    <mergeCell ref="A6:A15"/>
    <mergeCell ref="M6:M15"/>
    <mergeCell ref="A17:A25"/>
    <mergeCell ref="M17:M26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="120" zoomScaleNormal="120"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B4" sqref="B4:N4"/>
    </sheetView>
  </sheetViews>
  <sheetFormatPr baseColWidth="10" defaultRowHeight="13.2"/>
  <cols>
    <col min="1" max="1" width="49.33203125" style="2" customWidth="1"/>
    <col min="2" max="3" width="9.77734375" style="2" customWidth="1"/>
    <col min="4" max="4" width="13.44140625" style="2" customWidth="1"/>
    <col min="5" max="5" width="8.33203125" style="2" customWidth="1"/>
    <col min="6" max="6" width="13.44140625" style="2" customWidth="1"/>
    <col min="7" max="7" width="8.33203125" style="2" customWidth="1"/>
    <col min="8" max="8" width="13.44140625" style="2" customWidth="1"/>
    <col min="9" max="9" width="8.33203125" style="2" customWidth="1"/>
    <col min="10" max="10" width="13.44140625" style="2" customWidth="1"/>
    <col min="11" max="11" width="8.33203125" style="2" customWidth="1"/>
    <col min="12" max="256" width="9.77734375" style="2" customWidth="1"/>
    <col min="257" max="16384" width="11.5546875" style="2"/>
  </cols>
  <sheetData>
    <row r="1" spans="1:15">
      <c r="A1" s="42" t="s">
        <v>1091</v>
      </c>
      <c r="B1" s="42"/>
      <c r="C1" s="42"/>
      <c r="D1" s="42"/>
      <c r="E1" s="42"/>
    </row>
    <row r="3" spans="1:15" s="5" customFormat="1">
      <c r="B3" s="41" t="s">
        <v>1000</v>
      </c>
      <c r="C3" s="41"/>
      <c r="D3" s="41" t="s">
        <v>1016</v>
      </c>
      <c r="E3" s="41"/>
      <c r="F3" s="41" t="s">
        <v>1028</v>
      </c>
      <c r="G3" s="41"/>
      <c r="H3" s="41" t="s">
        <v>1036</v>
      </c>
      <c r="I3" s="41"/>
      <c r="J3" s="41" t="s">
        <v>1092</v>
      </c>
      <c r="K3" s="41"/>
      <c r="L3" s="45" t="s">
        <v>1046</v>
      </c>
      <c r="M3" s="45"/>
      <c r="N3" s="46" t="s">
        <v>1093</v>
      </c>
      <c r="O3" s="46"/>
    </row>
    <row r="4" spans="1:15">
      <c r="A4" s="1" t="s">
        <v>4</v>
      </c>
      <c r="B4" s="2">
        <v>7199</v>
      </c>
      <c r="D4" s="2">
        <v>7106</v>
      </c>
      <c r="F4" s="2">
        <v>7114</v>
      </c>
      <c r="H4" s="2">
        <v>7049</v>
      </c>
      <c r="J4" s="2">
        <v>7104</v>
      </c>
      <c r="L4" s="19">
        <v>7288</v>
      </c>
      <c r="M4" s="19"/>
      <c r="N4" s="20">
        <v>7310</v>
      </c>
      <c r="O4" s="20"/>
    </row>
    <row r="5" spans="1:15">
      <c r="A5" s="1" t="s">
        <v>5</v>
      </c>
      <c r="B5" s="2">
        <v>39950</v>
      </c>
      <c r="D5" s="2">
        <v>40096</v>
      </c>
      <c r="F5" s="2">
        <v>40006</v>
      </c>
      <c r="H5" s="2">
        <v>39195</v>
      </c>
      <c r="J5" s="2">
        <v>38911</v>
      </c>
      <c r="L5" s="19">
        <v>41185</v>
      </c>
      <c r="M5" s="19"/>
      <c r="N5" s="20">
        <v>41233</v>
      </c>
      <c r="O5" s="20"/>
    </row>
    <row r="6" spans="1:15">
      <c r="A6" s="1" t="s">
        <v>6</v>
      </c>
      <c r="B6" s="2">
        <v>32578</v>
      </c>
      <c r="D6" s="2">
        <v>32798</v>
      </c>
      <c r="F6" s="2">
        <v>32725</v>
      </c>
      <c r="H6" s="2">
        <v>31991</v>
      </c>
      <c r="J6" s="2">
        <v>31687</v>
      </c>
      <c r="L6" s="19">
        <v>33560</v>
      </c>
      <c r="M6" s="19"/>
      <c r="N6" s="20">
        <v>33569</v>
      </c>
      <c r="O6" s="20"/>
    </row>
    <row r="7" spans="1:15">
      <c r="A7" s="1"/>
      <c r="L7" s="19"/>
      <c r="M7" s="19"/>
      <c r="N7" s="20"/>
      <c r="O7" s="20"/>
    </row>
    <row r="8" spans="1:15">
      <c r="A8" s="1" t="s">
        <v>7</v>
      </c>
      <c r="B8" s="2" t="s">
        <v>207</v>
      </c>
      <c r="C8" s="2" t="s">
        <v>205</v>
      </c>
      <c r="D8" s="2" t="s">
        <v>1094</v>
      </c>
      <c r="E8" s="2" t="s">
        <v>1095</v>
      </c>
      <c r="F8" s="2" t="s">
        <v>1096</v>
      </c>
      <c r="G8" s="2" t="s">
        <v>412</v>
      </c>
      <c r="H8" s="2" t="s">
        <v>1097</v>
      </c>
      <c r="I8" s="2" t="s">
        <v>191</v>
      </c>
      <c r="J8" s="2" t="s">
        <v>1098</v>
      </c>
      <c r="K8" s="2" t="s">
        <v>16</v>
      </c>
      <c r="L8" s="19" t="s">
        <v>1099</v>
      </c>
      <c r="M8" s="19" t="s">
        <v>766</v>
      </c>
      <c r="N8" s="20" t="s">
        <v>1100</v>
      </c>
      <c r="O8" s="20" t="s">
        <v>766</v>
      </c>
    </row>
    <row r="9" spans="1:15">
      <c r="A9" s="1" t="s">
        <v>14</v>
      </c>
      <c r="B9" s="2" t="s">
        <v>226</v>
      </c>
      <c r="C9" s="2" t="s">
        <v>105</v>
      </c>
      <c r="D9" s="2" t="s">
        <v>1101</v>
      </c>
      <c r="E9" s="2" t="s">
        <v>209</v>
      </c>
      <c r="F9" s="2" t="s">
        <v>1102</v>
      </c>
      <c r="G9" s="2" t="s">
        <v>105</v>
      </c>
      <c r="H9" s="2" t="s">
        <v>1103</v>
      </c>
      <c r="I9" s="2" t="s">
        <v>209</v>
      </c>
      <c r="J9" s="2" t="s">
        <v>1104</v>
      </c>
      <c r="K9" s="2" t="s">
        <v>209</v>
      </c>
      <c r="L9" s="19" t="s">
        <v>1105</v>
      </c>
      <c r="M9" s="19" t="s">
        <v>1106</v>
      </c>
      <c r="N9" s="20" t="s">
        <v>1107</v>
      </c>
      <c r="O9" s="20" t="s">
        <v>1106</v>
      </c>
    </row>
    <row r="10" spans="1:15">
      <c r="A10" s="1" t="s">
        <v>21</v>
      </c>
      <c r="B10" s="2" t="s">
        <v>250</v>
      </c>
      <c r="C10" s="2" t="s">
        <v>247</v>
      </c>
      <c r="D10" s="2" t="s">
        <v>1108</v>
      </c>
      <c r="E10" s="2" t="s">
        <v>198</v>
      </c>
      <c r="F10" s="2" t="s">
        <v>1109</v>
      </c>
      <c r="G10" s="2" t="s">
        <v>446</v>
      </c>
      <c r="H10" s="2" t="s">
        <v>1110</v>
      </c>
      <c r="I10" s="2" t="s">
        <v>491</v>
      </c>
      <c r="J10" s="2" t="s">
        <v>1111</v>
      </c>
      <c r="K10" s="2" t="s">
        <v>444</v>
      </c>
      <c r="L10" s="19" t="s">
        <v>1112</v>
      </c>
      <c r="M10" s="19" t="s">
        <v>1113</v>
      </c>
      <c r="N10" s="20" t="s">
        <v>1114</v>
      </c>
      <c r="O10" s="20" t="s">
        <v>1113</v>
      </c>
    </row>
    <row r="11" spans="1:15">
      <c r="A11" s="1" t="s">
        <v>28</v>
      </c>
      <c r="B11" s="2" t="s">
        <v>269</v>
      </c>
      <c r="C11" s="2" t="s">
        <v>263</v>
      </c>
      <c r="D11" s="2" t="s">
        <v>1115</v>
      </c>
      <c r="E11" s="2" t="s">
        <v>32</v>
      </c>
      <c r="F11" s="2" t="s">
        <v>1116</v>
      </c>
      <c r="G11" s="2" t="s">
        <v>263</v>
      </c>
      <c r="H11" s="2" t="s">
        <v>1117</v>
      </c>
      <c r="I11" s="2" t="s">
        <v>32</v>
      </c>
      <c r="J11" s="2" t="s">
        <v>1118</v>
      </c>
      <c r="K11" s="2" t="s">
        <v>32</v>
      </c>
      <c r="L11" s="19" t="s">
        <v>1119</v>
      </c>
      <c r="M11" s="19" t="s">
        <v>747</v>
      </c>
      <c r="N11" s="20" t="s">
        <v>1120</v>
      </c>
      <c r="O11" s="20" t="s">
        <v>747</v>
      </c>
    </row>
    <row r="12" spans="1:15">
      <c r="A12" s="1" t="s">
        <v>34</v>
      </c>
      <c r="B12" s="2" t="s">
        <v>290</v>
      </c>
      <c r="C12" s="2" t="s">
        <v>274</v>
      </c>
      <c r="D12" s="2" t="s">
        <v>1121</v>
      </c>
      <c r="E12" s="2" t="s">
        <v>1122</v>
      </c>
      <c r="F12" s="2" t="s">
        <v>1123</v>
      </c>
      <c r="G12" s="2" t="s">
        <v>46</v>
      </c>
      <c r="H12" s="2" t="s">
        <v>1124</v>
      </c>
      <c r="I12" s="2" t="s">
        <v>278</v>
      </c>
      <c r="J12" s="2" t="s">
        <v>1124</v>
      </c>
      <c r="K12" s="2" t="s">
        <v>278</v>
      </c>
      <c r="L12" s="19" t="s">
        <v>1125</v>
      </c>
      <c r="M12" s="19" t="s">
        <v>1126</v>
      </c>
      <c r="N12" s="20" t="s">
        <v>1127</v>
      </c>
      <c r="O12" s="20" t="s">
        <v>1128</v>
      </c>
    </row>
    <row r="13" spans="1:15">
      <c r="A13" s="1" t="s">
        <v>40</v>
      </c>
      <c r="B13" s="2" t="s">
        <v>309</v>
      </c>
      <c r="C13" s="2" t="s">
        <v>304</v>
      </c>
      <c r="D13" s="2" t="s">
        <v>1129</v>
      </c>
      <c r="E13" s="2" t="s">
        <v>278</v>
      </c>
      <c r="F13" s="2" t="s">
        <v>1130</v>
      </c>
      <c r="G13" s="2" t="s">
        <v>278</v>
      </c>
      <c r="H13" s="2" t="s">
        <v>1131</v>
      </c>
      <c r="I13" s="2" t="s">
        <v>280</v>
      </c>
      <c r="J13" s="2" t="s">
        <v>1132</v>
      </c>
      <c r="K13" s="2" t="s">
        <v>280</v>
      </c>
      <c r="L13" s="19" t="s">
        <v>1133</v>
      </c>
      <c r="M13" s="19" t="s">
        <v>1134</v>
      </c>
      <c r="N13" s="20" t="s">
        <v>1135</v>
      </c>
      <c r="O13" s="20" t="s">
        <v>1136</v>
      </c>
    </row>
    <row r="14" spans="1:15">
      <c r="A14" s="1"/>
      <c r="L14" s="19"/>
      <c r="M14" s="19"/>
      <c r="N14" s="20"/>
      <c r="O14" s="20"/>
    </row>
    <row r="15" spans="1:15">
      <c r="A15" s="1" t="s">
        <v>47</v>
      </c>
      <c r="B15" s="2">
        <v>4809</v>
      </c>
      <c r="D15" s="2">
        <v>4858</v>
      </c>
      <c r="F15" s="2">
        <v>4810</v>
      </c>
      <c r="H15" s="2">
        <v>4594</v>
      </c>
      <c r="J15" s="2">
        <v>4427</v>
      </c>
      <c r="L15" s="19">
        <v>5192</v>
      </c>
      <c r="M15" s="19"/>
      <c r="N15" s="20">
        <v>5215</v>
      </c>
      <c r="O15" s="20"/>
    </row>
    <row r="16" spans="1:15">
      <c r="A16" s="1" t="s">
        <v>48</v>
      </c>
      <c r="B16" s="2">
        <f xml:space="preserve"> 4809/7199</f>
        <v>0.66800944575635501</v>
      </c>
      <c r="C16" s="10" t="s">
        <v>321</v>
      </c>
      <c r="D16" s="2">
        <f>4858/7106</f>
        <v>0.68364762172811711</v>
      </c>
      <c r="E16" s="10" t="s">
        <v>1137</v>
      </c>
      <c r="F16" s="2">
        <f>4810/7114</f>
        <v>0.67613157154905823</v>
      </c>
      <c r="G16" s="10" t="s">
        <v>329</v>
      </c>
      <c r="H16" s="2">
        <f>4594/7049</f>
        <v>0.65172364874450273</v>
      </c>
      <c r="I16" s="10" t="s">
        <v>57</v>
      </c>
      <c r="J16" s="2">
        <f>4427/7104</f>
        <v>0.62317004504504503</v>
      </c>
      <c r="K16" s="10" t="s">
        <v>325</v>
      </c>
      <c r="L16" s="19">
        <f>5192/7288</f>
        <v>0.71240395170142701</v>
      </c>
      <c r="M16" s="21" t="s">
        <v>347</v>
      </c>
      <c r="N16" s="20">
        <f>5215/7310</f>
        <v>0.71340629274965806</v>
      </c>
      <c r="O16" s="22" t="s">
        <v>619</v>
      </c>
    </row>
    <row r="17" spans="1:15">
      <c r="A17" s="1" t="s">
        <v>55</v>
      </c>
      <c r="B17" s="2">
        <f>4809/6795</f>
        <v>0.70772626931567328</v>
      </c>
      <c r="C17" s="10" t="s">
        <v>335</v>
      </c>
      <c r="D17" s="2">
        <f>4858/6795</f>
        <v>0.71493745401030173</v>
      </c>
      <c r="E17" s="10" t="s">
        <v>351</v>
      </c>
      <c r="F17" s="2">
        <f>4810/6795</f>
        <v>0.70787343635025757</v>
      </c>
      <c r="G17" s="10" t="s">
        <v>335</v>
      </c>
      <c r="H17" s="2">
        <f>4594/6795</f>
        <v>0.67608535688005889</v>
      </c>
      <c r="I17" s="10" t="s">
        <v>329</v>
      </c>
      <c r="J17" s="2">
        <f>4427/6795</f>
        <v>0.65150846210448854</v>
      </c>
      <c r="K17" s="10" t="s">
        <v>57</v>
      </c>
      <c r="L17" s="19">
        <f>5192/6795</f>
        <v>0.7640912435614422</v>
      </c>
      <c r="M17" s="21" t="s">
        <v>1138</v>
      </c>
      <c r="N17" s="20">
        <f>5215/6795</f>
        <v>0.76747608535688006</v>
      </c>
      <c r="O17" s="22" t="s">
        <v>1139</v>
      </c>
    </row>
    <row r="18" spans="1:15">
      <c r="A18" s="1" t="s">
        <v>62</v>
      </c>
      <c r="B18" s="2" t="s">
        <v>361</v>
      </c>
      <c r="C18" s="10" t="s">
        <v>358</v>
      </c>
      <c r="D18" s="2" t="s">
        <v>1140</v>
      </c>
      <c r="E18" s="10" t="s">
        <v>1141</v>
      </c>
      <c r="F18" s="2" t="s">
        <v>1142</v>
      </c>
      <c r="G18" s="10" t="s">
        <v>1143</v>
      </c>
      <c r="H18" s="2" t="s">
        <v>1144</v>
      </c>
      <c r="I18" s="10" t="s">
        <v>1145</v>
      </c>
      <c r="J18" s="2" t="s">
        <v>1146</v>
      </c>
      <c r="K18" s="10" t="s">
        <v>1147</v>
      </c>
      <c r="L18" s="19" t="s">
        <v>1148</v>
      </c>
      <c r="M18" s="21" t="s">
        <v>1149</v>
      </c>
      <c r="N18" s="20" t="s">
        <v>1150</v>
      </c>
      <c r="O18" s="22" t="s">
        <v>1151</v>
      </c>
    </row>
    <row r="19" spans="1:15">
      <c r="A19" s="1"/>
      <c r="B19" s="2">
        <f>B16*B17</f>
        <v>0.47276783291277574</v>
      </c>
      <c r="D19" s="2">
        <f>D16*D17</f>
        <v>0.4887652901184979</v>
      </c>
      <c r="F19" s="2">
        <f>F16*F17</f>
        <v>0.47861557897733187</v>
      </c>
      <c r="H19" s="2">
        <f>H16*H17</f>
        <v>0.44062081564860128</v>
      </c>
      <c r="J19" s="2">
        <f>J16*J17</f>
        <v>0.40600055767688215</v>
      </c>
      <c r="L19" s="2">
        <f>L16*L17</f>
        <v>0.54434162137362896</v>
      </c>
      <c r="M19" s="19"/>
      <c r="N19" s="2">
        <f>N16*N17</f>
        <v>0.54752226882847188</v>
      </c>
      <c r="O19" s="20"/>
    </row>
    <row r="20" spans="1:15">
      <c r="A20" s="1"/>
      <c r="L20" s="19"/>
      <c r="M20" s="19"/>
      <c r="N20" s="20"/>
      <c r="O20" s="20"/>
    </row>
    <row r="21" spans="1:15">
      <c r="A21" s="1" t="s">
        <v>69</v>
      </c>
      <c r="L21" s="19"/>
      <c r="M21" s="19"/>
      <c r="N21" s="20"/>
      <c r="O21" s="20"/>
    </row>
    <row r="22" spans="1:15">
      <c r="A22" s="1"/>
      <c r="L22" s="19"/>
      <c r="M22" s="19"/>
      <c r="N22" s="20"/>
      <c r="O22" s="20"/>
    </row>
    <row r="23" spans="1:15">
      <c r="A23" s="1" t="s">
        <v>70</v>
      </c>
      <c r="B23" s="2">
        <v>6753</v>
      </c>
      <c r="D23" s="2">
        <v>6681</v>
      </c>
      <c r="F23" s="2">
        <v>6686</v>
      </c>
      <c r="H23" s="2">
        <v>6648</v>
      </c>
      <c r="J23" s="2">
        <v>6698</v>
      </c>
      <c r="L23" s="19">
        <v>6787</v>
      </c>
      <c r="M23" s="19"/>
      <c r="N23" s="20">
        <v>6800</v>
      </c>
      <c r="O23" s="20"/>
    </row>
    <row r="24" spans="1:15">
      <c r="A24" s="1" t="s">
        <v>71</v>
      </c>
      <c r="B24" s="2">
        <v>6462</v>
      </c>
      <c r="D24" s="2">
        <v>6447</v>
      </c>
      <c r="F24" s="2">
        <v>6456</v>
      </c>
      <c r="H24" s="2">
        <v>6385</v>
      </c>
      <c r="J24" s="2">
        <v>6385</v>
      </c>
      <c r="L24" s="19">
        <v>6534</v>
      </c>
      <c r="M24" s="19"/>
      <c r="N24" s="20">
        <v>6541</v>
      </c>
      <c r="O24" s="20"/>
    </row>
    <row r="25" spans="1:15">
      <c r="A25" s="1" t="s">
        <v>72</v>
      </c>
      <c r="B25" s="2">
        <v>39208</v>
      </c>
      <c r="D25" s="2">
        <v>39390</v>
      </c>
      <c r="F25" s="2">
        <v>39274</v>
      </c>
      <c r="H25" s="2">
        <v>38524</v>
      </c>
      <c r="J25" s="2">
        <v>38239</v>
      </c>
      <c r="L25" s="19">
        <v>40364</v>
      </c>
      <c r="M25" s="19"/>
      <c r="N25" s="20">
        <v>40415</v>
      </c>
      <c r="O25" s="20"/>
    </row>
    <row r="26" spans="1:15">
      <c r="A26" s="1" t="s">
        <v>73</v>
      </c>
      <c r="B26" s="2">
        <v>32286</v>
      </c>
      <c r="D26" s="2">
        <v>32521</v>
      </c>
      <c r="F26" s="2">
        <v>32424</v>
      </c>
      <c r="H26" s="2">
        <v>31725</v>
      </c>
      <c r="J26" s="2">
        <v>31426</v>
      </c>
      <c r="L26" s="19">
        <v>33248</v>
      </c>
      <c r="M26" s="19"/>
      <c r="N26" s="20">
        <v>33267</v>
      </c>
      <c r="O26" s="20"/>
    </row>
    <row r="27" spans="1:15">
      <c r="A27" s="1" t="s">
        <v>74</v>
      </c>
      <c r="B27" s="2">
        <v>41969</v>
      </c>
      <c r="D27" s="2">
        <v>41940</v>
      </c>
      <c r="F27" s="2">
        <v>41912</v>
      </c>
      <c r="H27" s="2">
        <v>41560</v>
      </c>
      <c r="J27" s="2">
        <v>41598</v>
      </c>
      <c r="L27" s="19">
        <v>42354</v>
      </c>
      <c r="M27" s="19"/>
      <c r="N27" s="20">
        <v>42385</v>
      </c>
      <c r="O27" s="20"/>
    </row>
    <row r="28" spans="1:15">
      <c r="A28" s="1" t="s">
        <v>75</v>
      </c>
      <c r="B28" s="2">
        <v>35280</v>
      </c>
      <c r="D28" s="2">
        <v>35271</v>
      </c>
      <c r="F28" s="2">
        <v>35233</v>
      </c>
      <c r="H28" s="2">
        <v>34957</v>
      </c>
      <c r="J28" s="2">
        <v>34996</v>
      </c>
      <c r="L28" s="19">
        <v>35589</v>
      </c>
      <c r="M28" s="19"/>
      <c r="N28" s="20">
        <v>35613</v>
      </c>
      <c r="O28" s="20"/>
    </row>
    <row r="29" spans="1:15">
      <c r="A29" s="1"/>
      <c r="L29" s="19"/>
      <c r="M29" s="19"/>
      <c r="N29" s="20"/>
      <c r="O29" s="20"/>
    </row>
    <row r="30" spans="1:15">
      <c r="A30" s="1" t="s">
        <v>7</v>
      </c>
      <c r="B30" s="2" t="s">
        <v>380</v>
      </c>
      <c r="C30" s="2" t="s">
        <v>282</v>
      </c>
      <c r="D30" s="2" t="s">
        <v>1152</v>
      </c>
      <c r="E30" s="2" t="s">
        <v>518</v>
      </c>
      <c r="F30" s="2" t="s">
        <v>1153</v>
      </c>
      <c r="G30" s="2" t="s">
        <v>276</v>
      </c>
      <c r="H30" s="2" t="s">
        <v>1154</v>
      </c>
      <c r="I30" s="2" t="s">
        <v>82</v>
      </c>
      <c r="J30" s="2" t="s">
        <v>1155</v>
      </c>
      <c r="K30" s="2" t="s">
        <v>1156</v>
      </c>
      <c r="L30" s="19" t="s">
        <v>1157</v>
      </c>
      <c r="M30" s="19" t="s">
        <v>1158</v>
      </c>
      <c r="N30" s="20" t="s">
        <v>1159</v>
      </c>
      <c r="O30" s="20" t="s">
        <v>1158</v>
      </c>
    </row>
    <row r="31" spans="1:15">
      <c r="A31" s="1" t="s">
        <v>14</v>
      </c>
      <c r="B31" s="2" t="s">
        <v>396</v>
      </c>
      <c r="C31" s="2" t="s">
        <v>77</v>
      </c>
      <c r="D31" s="2" t="s">
        <v>1160</v>
      </c>
      <c r="E31" s="2" t="s">
        <v>77</v>
      </c>
      <c r="F31" s="2" t="s">
        <v>1161</v>
      </c>
      <c r="G31" s="2" t="s">
        <v>77</v>
      </c>
      <c r="H31" s="2" t="s">
        <v>1162</v>
      </c>
      <c r="I31" s="2" t="s">
        <v>84</v>
      </c>
      <c r="J31" s="2" t="s">
        <v>1163</v>
      </c>
      <c r="K31" s="2" t="s">
        <v>84</v>
      </c>
      <c r="L31" s="19" t="s">
        <v>1164</v>
      </c>
      <c r="M31" s="19" t="s">
        <v>77</v>
      </c>
      <c r="N31" s="20" t="s">
        <v>1165</v>
      </c>
      <c r="O31" s="20" t="s">
        <v>84</v>
      </c>
    </row>
    <row r="32" spans="1:15">
      <c r="A32" s="1" t="s">
        <v>21</v>
      </c>
      <c r="B32" s="2" t="s">
        <v>420</v>
      </c>
      <c r="C32" s="2" t="s">
        <v>419</v>
      </c>
      <c r="D32" s="2" t="s">
        <v>1166</v>
      </c>
      <c r="E32" s="2" t="s">
        <v>151</v>
      </c>
      <c r="F32" s="2" t="s">
        <v>1167</v>
      </c>
      <c r="G32" s="2" t="s">
        <v>901</v>
      </c>
      <c r="H32" s="2" t="s">
        <v>1168</v>
      </c>
      <c r="I32" s="2" t="s">
        <v>205</v>
      </c>
      <c r="J32" s="2" t="s">
        <v>1169</v>
      </c>
      <c r="K32" s="2" t="s">
        <v>453</v>
      </c>
      <c r="L32" s="19" t="s">
        <v>1170</v>
      </c>
      <c r="M32" s="19" t="s">
        <v>308</v>
      </c>
      <c r="N32" s="20" t="s">
        <v>1171</v>
      </c>
      <c r="O32" s="20" t="s">
        <v>82</v>
      </c>
    </row>
    <row r="33" spans="1:15">
      <c r="A33" s="1" t="s">
        <v>28</v>
      </c>
      <c r="B33" s="2" t="s">
        <v>436</v>
      </c>
      <c r="C33" s="2" t="s">
        <v>84</v>
      </c>
      <c r="D33" s="2" t="s">
        <v>1172</v>
      </c>
      <c r="E33" s="2" t="s">
        <v>84</v>
      </c>
      <c r="F33" s="2" t="s">
        <v>1173</v>
      </c>
      <c r="G33" s="2" t="s">
        <v>84</v>
      </c>
      <c r="H33" s="2" t="s">
        <v>1174</v>
      </c>
      <c r="I33" s="2" t="s">
        <v>84</v>
      </c>
      <c r="J33" s="2" t="s">
        <v>1175</v>
      </c>
      <c r="K33" s="2" t="s">
        <v>84</v>
      </c>
      <c r="L33" s="19" t="s">
        <v>1176</v>
      </c>
      <c r="M33" s="19" t="s">
        <v>84</v>
      </c>
      <c r="N33" s="20" t="s">
        <v>1177</v>
      </c>
      <c r="O33" s="20" t="s">
        <v>84</v>
      </c>
    </row>
    <row r="34" spans="1:15">
      <c r="L34" s="19"/>
      <c r="M34" s="19"/>
      <c r="N34" s="19"/>
      <c r="O34" s="19"/>
    </row>
    <row r="35" spans="1:15">
      <c r="L35" s="19"/>
      <c r="M35" s="19"/>
      <c r="N35" s="19"/>
      <c r="O35" s="19"/>
    </row>
    <row r="36" spans="1:15">
      <c r="A36" s="1" t="s">
        <v>1178</v>
      </c>
    </row>
    <row r="37" spans="1:15">
      <c r="A37" s="1" t="s">
        <v>1179</v>
      </c>
    </row>
  </sheetData>
  <sheetProtection selectLockedCells="1" selectUnlockedCells="1"/>
  <mergeCells count="8">
    <mergeCell ref="L3:M3"/>
    <mergeCell ref="N3:O3"/>
    <mergeCell ref="A1:E1"/>
    <mergeCell ref="B3:C3"/>
    <mergeCell ref="D3:E3"/>
    <mergeCell ref="F3:G3"/>
    <mergeCell ref="H3:I3"/>
    <mergeCell ref="J3:K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3" sqref="J3"/>
    </sheetView>
  </sheetViews>
  <sheetFormatPr baseColWidth="10" defaultRowHeight="13.2"/>
  <cols>
    <col min="1" max="1" width="51.109375" style="2" customWidth="1"/>
    <col min="2" max="3" width="9.77734375" style="2" customWidth="1"/>
    <col min="4" max="4" width="13.44140625" style="2" customWidth="1"/>
    <col min="5" max="5" width="8.33203125" style="2" customWidth="1"/>
    <col min="6" max="6" width="13.44140625" style="2" customWidth="1"/>
    <col min="7" max="7" width="8.33203125" style="2" customWidth="1"/>
    <col min="8" max="8" width="13.44140625" style="2" customWidth="1"/>
    <col min="9" max="9" width="8.33203125" style="2" customWidth="1"/>
    <col min="10" max="256" width="9.77734375" style="2" customWidth="1"/>
    <col min="257" max="16384" width="11.5546875" style="2"/>
  </cols>
  <sheetData>
    <row r="1" spans="1:11">
      <c r="A1" s="42" t="s">
        <v>1180</v>
      </c>
      <c r="B1" s="42"/>
      <c r="C1" s="42"/>
      <c r="D1" s="42"/>
      <c r="E1" s="42"/>
    </row>
    <row r="2" spans="1:11">
      <c r="A2" s="23"/>
    </row>
    <row r="3" spans="1:11" s="5" customFormat="1">
      <c r="B3" s="41" t="s">
        <v>1000</v>
      </c>
      <c r="C3" s="41"/>
      <c r="D3" s="41" t="s">
        <v>1016</v>
      </c>
      <c r="E3" s="41"/>
      <c r="F3" s="41" t="s">
        <v>1028</v>
      </c>
      <c r="G3" s="41"/>
      <c r="H3" s="41" t="s">
        <v>1036</v>
      </c>
      <c r="I3" s="41"/>
      <c r="J3" s="47" t="s">
        <v>1046</v>
      </c>
      <c r="K3" s="47"/>
    </row>
    <row r="4" spans="1:11">
      <c r="A4" s="1" t="s">
        <v>4</v>
      </c>
      <c r="B4" s="2">
        <v>7034</v>
      </c>
      <c r="D4" s="2">
        <v>6795</v>
      </c>
      <c r="F4" s="2">
        <v>7187</v>
      </c>
      <c r="H4" s="2">
        <v>6670</v>
      </c>
      <c r="J4" s="24">
        <v>7176</v>
      </c>
      <c r="K4" s="24"/>
    </row>
    <row r="5" spans="1:11">
      <c r="A5" s="1" t="s">
        <v>5</v>
      </c>
      <c r="B5" s="2">
        <v>39365</v>
      </c>
      <c r="D5" s="2">
        <v>38060</v>
      </c>
      <c r="F5" s="2">
        <v>39907</v>
      </c>
      <c r="H5" s="2">
        <v>36540</v>
      </c>
      <c r="J5" s="24">
        <v>40511</v>
      </c>
      <c r="K5" s="24"/>
    </row>
    <row r="6" spans="1:11">
      <c r="A6" s="1" t="s">
        <v>6</v>
      </c>
      <c r="B6" s="2">
        <v>32193</v>
      </c>
      <c r="D6" s="2">
        <v>31187</v>
      </c>
      <c r="F6" s="2">
        <v>32531</v>
      </c>
      <c r="H6" s="2">
        <v>29827</v>
      </c>
      <c r="J6" s="24">
        <v>33078</v>
      </c>
      <c r="K6" s="24"/>
    </row>
    <row r="7" spans="1:11">
      <c r="A7" s="1"/>
      <c r="J7" s="24"/>
      <c r="K7" s="24"/>
    </row>
    <row r="8" spans="1:11">
      <c r="A8" s="1" t="s">
        <v>7</v>
      </c>
      <c r="B8" s="2" t="s">
        <v>459</v>
      </c>
      <c r="C8" s="2" t="s">
        <v>119</v>
      </c>
      <c r="D8" s="2" t="s">
        <v>1181</v>
      </c>
      <c r="E8" s="2" t="s">
        <v>401</v>
      </c>
      <c r="F8" s="2" t="s">
        <v>1182</v>
      </c>
      <c r="G8" s="2" t="s">
        <v>1095</v>
      </c>
      <c r="H8" s="2" t="s">
        <v>1183</v>
      </c>
      <c r="I8" s="2" t="s">
        <v>1184</v>
      </c>
      <c r="J8" s="24" t="s">
        <v>1185</v>
      </c>
      <c r="K8" s="24" t="s">
        <v>151</v>
      </c>
    </row>
    <row r="9" spans="1:11">
      <c r="A9" s="1" t="s">
        <v>14</v>
      </c>
      <c r="B9" s="2" t="s">
        <v>475</v>
      </c>
      <c r="C9" s="2" t="s">
        <v>107</v>
      </c>
      <c r="D9" s="2" t="s">
        <v>1186</v>
      </c>
      <c r="E9" s="2" t="s">
        <v>225</v>
      </c>
      <c r="F9" s="2" t="s">
        <v>1187</v>
      </c>
      <c r="G9" s="2" t="s">
        <v>1188</v>
      </c>
      <c r="H9" s="2" t="s">
        <v>1189</v>
      </c>
      <c r="I9" s="2" t="s">
        <v>225</v>
      </c>
      <c r="J9" s="24" t="s">
        <v>1190</v>
      </c>
      <c r="K9" s="24" t="s">
        <v>1191</v>
      </c>
    </row>
    <row r="10" spans="1:11">
      <c r="A10" s="1" t="s">
        <v>21</v>
      </c>
      <c r="B10" s="2" t="s">
        <v>499</v>
      </c>
      <c r="C10" s="2" t="s">
        <v>496</v>
      </c>
      <c r="D10" s="2" t="s">
        <v>1192</v>
      </c>
      <c r="E10" s="2" t="s">
        <v>103</v>
      </c>
      <c r="F10" s="2" t="s">
        <v>1193</v>
      </c>
      <c r="G10" s="2" t="s">
        <v>249</v>
      </c>
      <c r="H10" s="2" t="s">
        <v>1194</v>
      </c>
      <c r="I10" s="2" t="s">
        <v>1195</v>
      </c>
      <c r="J10" s="24" t="s">
        <v>1196</v>
      </c>
      <c r="K10" s="24" t="s">
        <v>666</v>
      </c>
    </row>
    <row r="11" spans="1:11">
      <c r="A11" s="1" t="s">
        <v>28</v>
      </c>
      <c r="B11" s="2" t="s">
        <v>516</v>
      </c>
      <c r="C11" s="2" t="s">
        <v>115</v>
      </c>
      <c r="D11" s="2" t="s">
        <v>1197</v>
      </c>
      <c r="E11" s="2" t="s">
        <v>515</v>
      </c>
      <c r="F11" s="2" t="s">
        <v>1198</v>
      </c>
      <c r="G11" s="2" t="s">
        <v>115</v>
      </c>
      <c r="H11" s="2" t="s">
        <v>1199</v>
      </c>
      <c r="I11" s="2" t="s">
        <v>515</v>
      </c>
      <c r="J11" s="24" t="s">
        <v>1200</v>
      </c>
      <c r="K11" s="24" t="s">
        <v>115</v>
      </c>
    </row>
    <row r="12" spans="1:11">
      <c r="A12" s="1" t="s">
        <v>34</v>
      </c>
      <c r="B12" s="2" t="s">
        <v>530</v>
      </c>
      <c r="C12" s="2" t="s">
        <v>121</v>
      </c>
      <c r="D12" s="2" t="s">
        <v>1201</v>
      </c>
      <c r="E12" s="2" t="s">
        <v>371</v>
      </c>
      <c r="F12" s="2" t="s">
        <v>1202</v>
      </c>
      <c r="G12" s="2" t="s">
        <v>1203</v>
      </c>
      <c r="H12" s="2" t="s">
        <v>1204</v>
      </c>
      <c r="I12" s="2" t="s">
        <v>203</v>
      </c>
      <c r="J12" s="24" t="s">
        <v>1205</v>
      </c>
      <c r="K12" s="24" t="s">
        <v>1206</v>
      </c>
    </row>
    <row r="13" spans="1:11">
      <c r="A13" s="1" t="s">
        <v>40</v>
      </c>
      <c r="B13" s="2" t="s">
        <v>550</v>
      </c>
      <c r="C13" s="2" t="s">
        <v>546</v>
      </c>
      <c r="D13" s="2" t="s">
        <v>1207</v>
      </c>
      <c r="E13" s="2" t="s">
        <v>278</v>
      </c>
      <c r="F13" s="2" t="s">
        <v>1208</v>
      </c>
      <c r="G13" s="2" t="s">
        <v>901</v>
      </c>
      <c r="H13" s="2" t="s">
        <v>1209</v>
      </c>
      <c r="I13" s="2" t="s">
        <v>282</v>
      </c>
      <c r="J13" s="24" t="s">
        <v>1210</v>
      </c>
      <c r="K13" s="24" t="s">
        <v>901</v>
      </c>
    </row>
    <row r="14" spans="1:11">
      <c r="A14" s="1"/>
      <c r="J14" s="24"/>
      <c r="K14" s="24"/>
    </row>
    <row r="15" spans="1:11">
      <c r="A15" s="1" t="s">
        <v>47</v>
      </c>
      <c r="B15" s="2">
        <v>4516</v>
      </c>
      <c r="D15" s="2">
        <v>4119</v>
      </c>
      <c r="F15" s="2">
        <v>4624</v>
      </c>
      <c r="H15" s="2">
        <v>3821</v>
      </c>
      <c r="J15" s="24">
        <v>4869</v>
      </c>
      <c r="K15" s="24"/>
    </row>
    <row r="16" spans="1:11">
      <c r="A16" s="1" t="s">
        <v>48</v>
      </c>
      <c r="B16" s="2" t="s">
        <v>573</v>
      </c>
      <c r="C16" s="10" t="s">
        <v>571</v>
      </c>
      <c r="D16" s="2" t="s">
        <v>327</v>
      </c>
      <c r="E16" s="10" t="s">
        <v>328</v>
      </c>
      <c r="F16" s="2" t="s">
        <v>1211</v>
      </c>
      <c r="G16" s="10" t="s">
        <v>603</v>
      </c>
      <c r="H16" s="2" t="s">
        <v>1212</v>
      </c>
      <c r="I16" s="10" t="s">
        <v>1213</v>
      </c>
      <c r="J16" s="24" t="s">
        <v>1214</v>
      </c>
      <c r="K16" s="25" t="s">
        <v>595</v>
      </c>
    </row>
    <row r="17" spans="1:11">
      <c r="A17" s="1" t="s">
        <v>1215</v>
      </c>
      <c r="B17" s="2" t="s">
        <v>598</v>
      </c>
      <c r="C17" s="10">
        <v>0.68</v>
      </c>
      <c r="D17" s="2" t="s">
        <v>1216</v>
      </c>
      <c r="E17" s="10">
        <v>0.62</v>
      </c>
      <c r="F17" s="2" t="s">
        <v>1217</v>
      </c>
      <c r="G17" s="10" t="s">
        <v>1218</v>
      </c>
      <c r="H17" s="2" t="s">
        <v>1219</v>
      </c>
      <c r="I17" s="10" t="s">
        <v>1220</v>
      </c>
      <c r="J17" s="24" t="s">
        <v>1221</v>
      </c>
      <c r="K17" s="25" t="s">
        <v>1222</v>
      </c>
    </row>
    <row r="18" spans="1:11">
      <c r="A18" s="1" t="s">
        <v>599</v>
      </c>
      <c r="B18" s="2" t="s">
        <v>625</v>
      </c>
      <c r="C18" s="10" t="s">
        <v>351</v>
      </c>
      <c r="D18" s="2" t="s">
        <v>1223</v>
      </c>
      <c r="E18" s="10" t="s">
        <v>61</v>
      </c>
      <c r="F18" s="2" t="s">
        <v>1224</v>
      </c>
      <c r="G18" s="10" t="s">
        <v>1225</v>
      </c>
      <c r="H18" s="2" t="s">
        <v>1226</v>
      </c>
      <c r="I18" s="10" t="s">
        <v>564</v>
      </c>
      <c r="J18" s="24" t="s">
        <v>1227</v>
      </c>
      <c r="K18" s="25" t="s">
        <v>1228</v>
      </c>
    </row>
    <row r="19" spans="1:11">
      <c r="A19" s="1"/>
      <c r="J19" s="24"/>
      <c r="K19" s="24"/>
    </row>
    <row r="20" spans="1:11">
      <c r="A20" s="1"/>
      <c r="J20" s="24"/>
      <c r="K20" s="24"/>
    </row>
    <row r="21" spans="1:11">
      <c r="A21" s="1" t="s">
        <v>69</v>
      </c>
      <c r="J21" s="24"/>
      <c r="K21" s="24"/>
    </row>
    <row r="22" spans="1:11">
      <c r="A22" s="1"/>
      <c r="J22" s="24"/>
      <c r="K22" s="24"/>
    </row>
    <row r="23" spans="1:11">
      <c r="A23" s="1" t="s">
        <v>70</v>
      </c>
      <c r="B23" s="2">
        <v>6543</v>
      </c>
      <c r="D23" s="2">
        <v>6388</v>
      </c>
      <c r="F23" s="2">
        <v>6649</v>
      </c>
      <c r="H23" s="2">
        <v>6284</v>
      </c>
      <c r="J23" s="24">
        <v>6639</v>
      </c>
      <c r="K23" s="24"/>
    </row>
    <row r="24" spans="1:11">
      <c r="A24" s="1" t="s">
        <v>71</v>
      </c>
      <c r="B24" s="2">
        <v>6318</v>
      </c>
      <c r="D24" s="2">
        <v>6190</v>
      </c>
      <c r="F24" s="2">
        <v>6361</v>
      </c>
      <c r="H24" s="2">
        <v>6047</v>
      </c>
      <c r="J24" s="24">
        <v>6385</v>
      </c>
      <c r="K24" s="24"/>
    </row>
    <row r="25" spans="1:11">
      <c r="A25" s="1" t="s">
        <v>72</v>
      </c>
      <c r="B25" s="2">
        <v>38538</v>
      </c>
      <c r="D25" s="2">
        <v>37349</v>
      </c>
      <c r="F25" s="2">
        <v>39005</v>
      </c>
      <c r="H25" s="2">
        <v>35884</v>
      </c>
      <c r="J25" s="24">
        <v>39609</v>
      </c>
      <c r="K25" s="24"/>
    </row>
    <row r="26" spans="1:11">
      <c r="A26" s="1" t="s">
        <v>73</v>
      </c>
      <c r="B26" s="2">
        <v>31857</v>
      </c>
      <c r="D26" s="2">
        <v>30884</v>
      </c>
      <c r="F26" s="2">
        <v>32169</v>
      </c>
      <c r="H26" s="2">
        <v>29557</v>
      </c>
      <c r="J26" s="24">
        <v>32716</v>
      </c>
      <c r="K26" s="24"/>
    </row>
    <row r="27" spans="1:11">
      <c r="A27" s="1" t="s">
        <v>74</v>
      </c>
      <c r="B27" s="2">
        <v>41170</v>
      </c>
      <c r="D27" s="2">
        <v>40375</v>
      </c>
      <c r="F27" s="2">
        <v>41398</v>
      </c>
      <c r="H27" s="2">
        <v>39555</v>
      </c>
      <c r="J27" s="24">
        <v>41540</v>
      </c>
      <c r="K27" s="24"/>
    </row>
    <row r="28" spans="1:11">
      <c r="A28" s="1" t="s">
        <v>75</v>
      </c>
      <c r="B28" s="2">
        <v>34763</v>
      </c>
      <c r="D28" s="2">
        <v>34101</v>
      </c>
      <c r="F28" s="2">
        <v>34949</v>
      </c>
      <c r="H28" s="2">
        <v>33425</v>
      </c>
      <c r="J28" s="24">
        <v>35066</v>
      </c>
      <c r="K28" s="24"/>
    </row>
    <row r="29" spans="1:11">
      <c r="A29" s="1"/>
      <c r="J29" s="24"/>
      <c r="K29" s="24"/>
    </row>
    <row r="30" spans="1:11">
      <c r="A30" s="1" t="s">
        <v>7</v>
      </c>
      <c r="B30" s="2" t="s">
        <v>642</v>
      </c>
      <c r="C30" s="2" t="s">
        <v>302</v>
      </c>
      <c r="D30" s="2" t="s">
        <v>1229</v>
      </c>
      <c r="E30" s="2" t="s">
        <v>1156</v>
      </c>
      <c r="F30" s="2" t="s">
        <v>1230</v>
      </c>
      <c r="G30" s="2" t="s">
        <v>280</v>
      </c>
      <c r="H30" s="2" t="s">
        <v>1231</v>
      </c>
      <c r="I30" s="2" t="s">
        <v>203</v>
      </c>
      <c r="J30" s="24" t="s">
        <v>1232</v>
      </c>
      <c r="K30" s="24" t="s">
        <v>274</v>
      </c>
    </row>
    <row r="31" spans="1:11">
      <c r="A31" s="1" t="s">
        <v>14</v>
      </c>
      <c r="B31" s="2" t="s">
        <v>658</v>
      </c>
      <c r="C31" s="2" t="s">
        <v>77</v>
      </c>
      <c r="D31" s="2" t="s">
        <v>1233</v>
      </c>
      <c r="E31" s="2" t="s">
        <v>84</v>
      </c>
      <c r="F31" s="2" t="s">
        <v>1234</v>
      </c>
      <c r="G31" s="2" t="s">
        <v>77</v>
      </c>
      <c r="H31" s="2" t="s">
        <v>1235</v>
      </c>
      <c r="I31" s="2" t="s">
        <v>94</v>
      </c>
      <c r="J31" s="24" t="s">
        <v>1236</v>
      </c>
      <c r="K31" s="24" t="s">
        <v>77</v>
      </c>
    </row>
    <row r="32" spans="1:11">
      <c r="A32" s="1" t="s">
        <v>21</v>
      </c>
      <c r="B32" s="2" t="s">
        <v>675</v>
      </c>
      <c r="C32" s="2" t="s">
        <v>158</v>
      </c>
      <c r="D32" s="2" t="s">
        <v>1237</v>
      </c>
      <c r="E32" s="2" t="s">
        <v>453</v>
      </c>
      <c r="F32" s="2" t="s">
        <v>1238</v>
      </c>
      <c r="G32" s="2" t="s">
        <v>366</v>
      </c>
      <c r="H32" s="2" t="s">
        <v>1239</v>
      </c>
      <c r="I32" s="2" t="s">
        <v>184</v>
      </c>
      <c r="J32" s="24" t="s">
        <v>1240</v>
      </c>
      <c r="K32" s="24" t="s">
        <v>127</v>
      </c>
    </row>
    <row r="33" spans="1:11">
      <c r="A33" s="1" t="s">
        <v>28</v>
      </c>
      <c r="B33" s="2" t="s">
        <v>692</v>
      </c>
      <c r="C33" s="2" t="s">
        <v>94</v>
      </c>
      <c r="D33" s="2" t="s">
        <v>1241</v>
      </c>
      <c r="E33" s="2" t="s">
        <v>691</v>
      </c>
      <c r="F33" s="2" t="s">
        <v>1242</v>
      </c>
      <c r="G33" s="2" t="s">
        <v>84</v>
      </c>
      <c r="H33" s="2" t="s">
        <v>1243</v>
      </c>
      <c r="I33" s="2" t="s">
        <v>23</v>
      </c>
      <c r="J33" s="24" t="s">
        <v>1244</v>
      </c>
      <c r="K33" s="24" t="s">
        <v>84</v>
      </c>
    </row>
    <row r="36" spans="1:11">
      <c r="A36" s="1" t="s">
        <v>1178</v>
      </c>
    </row>
  </sheetData>
  <sheetProtection selectLockedCells="1" selectUnlockedCells="1"/>
  <mergeCells count="6">
    <mergeCell ref="J3:K3"/>
    <mergeCell ref="A1:E1"/>
    <mergeCell ref="B3:C3"/>
    <mergeCell ref="D3:E3"/>
    <mergeCell ref="F3:G3"/>
    <mergeCell ref="H3:I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19</vt:i4>
      </vt:variant>
    </vt:vector>
  </HeadingPairs>
  <TitlesOfParts>
    <vt:vector size="19" baseType="lpstr">
      <vt:lpstr>PIPELINE_SELECTION_H99</vt:lpstr>
      <vt:lpstr>PIPELINE_SELECTION_JEC21</vt:lpstr>
      <vt:lpstr>CUFFLINKS_PARAMETERS_H99</vt:lpstr>
      <vt:lpstr>CUFFLINKS_PARAMETERS_JEC21</vt:lpstr>
      <vt:lpstr>PARAMETERS_H99_REPLICATES</vt:lpstr>
      <vt:lpstr>PARAMETERS_JEC21_REPLICATES</vt:lpstr>
      <vt:lpstr>CUFFLINKS_PARAMETERS_P-Q</vt:lpstr>
      <vt:lpstr>CONDITIONS_WHOLE_BAM_H99</vt:lpstr>
      <vt:lpstr>CONDITIONS_WHOLE_BAM_JEC21</vt:lpstr>
      <vt:lpstr>CONDITIONS_COMBINATION_H99</vt:lpstr>
      <vt:lpstr>CONDITIONS_COMBINATION_JEC21</vt:lpstr>
      <vt:lpstr>SEQUENCING_DEPTH_H99</vt:lpstr>
      <vt:lpstr>SEQUENCING_DEPTH_JEC21</vt:lpstr>
      <vt:lpstr>CONDITIONS_SUBSAMPLED_H99</vt:lpstr>
      <vt:lpstr>CONDITIONS_SUBSAMPLED_JEC21</vt:lpstr>
      <vt:lpstr>FILTERS_H99</vt:lpstr>
      <vt:lpstr>FILTERS_JEC21</vt:lpstr>
      <vt:lpstr>EXONERATE_SEQUENCE_RETRIEVE_H99</vt:lpstr>
      <vt:lpstr>EXONERATE_SEQUENCE_RETRIEVE_JEC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Guilhem  JANBON</dc:creator>
  <cp:lastModifiedBy>Guilhem  JANBON</cp:lastModifiedBy>
  <dcterms:created xsi:type="dcterms:W3CDTF">2020-05-06T09:12:44Z</dcterms:created>
  <dcterms:modified xsi:type="dcterms:W3CDTF">2020-07-22T12:39:15Z</dcterms:modified>
</cp:coreProperties>
</file>