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app\Desktop\Documents\Recherche\Articles en cours et archives articles\2017\Sir2\G3\Last revision\"/>
    </mc:Choice>
  </mc:AlternateContent>
  <bookViews>
    <workbookView xWindow="0" yWindow="0" windowWidth="17016" windowHeight="10992" tabRatio="704"/>
  </bookViews>
  <sheets>
    <sheet name="Silencing experiments" sheetId="6" r:id="rId1"/>
    <sheet name="Viability on 5 subpopulations" sheetId="7" r:id="rId2"/>
    <sheet name="Western blotting" sheetId="8" r:id="rId3"/>
    <sheet name="Recovery experiment" sheetId="9" r:id="rId4"/>
    <sheet name="Viability tdTomato-Tsl1" sheetId="10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G30" i="10" l="1"/>
  <c r="H30" i="10" s="1"/>
  <c r="I30" i="10"/>
  <c r="E30" i="10"/>
  <c r="F10" i="10"/>
  <c r="C30" i="10"/>
  <c r="D30" i="10" s="1"/>
  <c r="D16" i="10" l="1"/>
  <c r="D15" i="10"/>
  <c r="H29" i="6"/>
  <c r="H11" i="10"/>
  <c r="J4" i="10" l="1"/>
  <c r="G4" i="10"/>
  <c r="D4" i="10"/>
  <c r="J3" i="10"/>
  <c r="G3" i="10"/>
  <c r="D3" i="10"/>
  <c r="J6" i="10"/>
  <c r="J5" i="10"/>
  <c r="G6" i="10"/>
  <c r="G5" i="10"/>
  <c r="D6" i="10"/>
  <c r="D5" i="10"/>
  <c r="E13" i="10" l="1"/>
  <c r="E12" i="10"/>
  <c r="F11" i="10"/>
  <c r="E11" i="10"/>
  <c r="E10" i="10"/>
  <c r="F12" i="10"/>
  <c r="F13" i="10"/>
  <c r="C35" i="8" l="1"/>
  <c r="C34" i="8"/>
  <c r="B35" i="8"/>
  <c r="F2" i="7"/>
  <c r="B34" i="8"/>
  <c r="B31" i="8"/>
  <c r="B30" i="8"/>
  <c r="B27" i="8"/>
  <c r="B26" i="8"/>
  <c r="L2" i="7"/>
  <c r="M2" i="7"/>
  <c r="N2" i="7"/>
  <c r="L3" i="7"/>
  <c r="M3" i="7"/>
  <c r="N3" i="7"/>
  <c r="L4" i="7"/>
  <c r="M4" i="7"/>
  <c r="N4" i="7"/>
  <c r="L5" i="7"/>
  <c r="M5" i="7"/>
  <c r="N5" i="7"/>
  <c r="L6" i="7"/>
  <c r="P6" i="7" s="1"/>
  <c r="M6" i="7"/>
  <c r="N6" i="7"/>
  <c r="L7" i="7"/>
  <c r="M7" i="7"/>
  <c r="N7" i="7"/>
  <c r="O2" i="7" l="1"/>
  <c r="P7" i="7"/>
  <c r="P4" i="7"/>
  <c r="P3" i="7"/>
  <c r="O5" i="7"/>
  <c r="O4" i="7"/>
  <c r="O7" i="7"/>
  <c r="P5" i="7"/>
  <c r="P2" i="7"/>
  <c r="O3" i="7"/>
  <c r="O6" i="7"/>
  <c r="P80" i="6"/>
  <c r="P79" i="6"/>
  <c r="K80" i="6"/>
  <c r="K79" i="6"/>
  <c r="F80" i="6"/>
  <c r="F79" i="6"/>
  <c r="Q9" i="7" l="1"/>
  <c r="H86" i="6"/>
  <c r="F86" i="6"/>
  <c r="G86" i="6" s="1"/>
  <c r="E86" i="6"/>
  <c r="F85" i="6"/>
  <c r="G85" i="6" s="1"/>
  <c r="E85" i="6"/>
  <c r="D7" i="7" l="1"/>
  <c r="C7" i="7"/>
  <c r="B7" i="7"/>
  <c r="D6" i="7"/>
  <c r="C6" i="7"/>
  <c r="B6" i="7"/>
  <c r="D5" i="7"/>
  <c r="C5" i="7"/>
  <c r="B5" i="7"/>
  <c r="D4" i="7"/>
  <c r="C4" i="7"/>
  <c r="B4" i="7"/>
  <c r="D3" i="7"/>
  <c r="C3" i="7"/>
  <c r="B3" i="7"/>
  <c r="D2" i="7"/>
  <c r="C2" i="7"/>
  <c r="B2" i="7"/>
  <c r="F3" i="7" l="1"/>
  <c r="E4" i="7"/>
  <c r="E6" i="7"/>
  <c r="E7" i="7"/>
  <c r="E2" i="7"/>
  <c r="F7" i="7"/>
  <c r="E3" i="7"/>
  <c r="F5" i="7"/>
  <c r="F4" i="7"/>
  <c r="E5" i="7"/>
  <c r="F6" i="7"/>
  <c r="H34" i="6"/>
  <c r="F34" i="6"/>
  <c r="G34" i="6" s="1"/>
  <c r="E34" i="6"/>
  <c r="F33" i="6"/>
  <c r="G33" i="6" s="1"/>
  <c r="E33" i="6"/>
  <c r="S17" i="6"/>
  <c r="R17" i="6"/>
  <c r="M17" i="6"/>
  <c r="L17" i="6"/>
  <c r="G17" i="6"/>
  <c r="F17" i="6"/>
  <c r="S18" i="6"/>
  <c r="R18" i="6"/>
  <c r="M18" i="6"/>
  <c r="L18" i="6"/>
  <c r="G18" i="6"/>
  <c r="F18" i="6"/>
  <c r="F29" i="6"/>
  <c r="G29" i="6" s="1"/>
  <c r="E29" i="6"/>
  <c r="P7" i="6"/>
  <c r="P6" i="6"/>
  <c r="P5" i="6"/>
  <c r="P4" i="6"/>
  <c r="K7" i="6"/>
  <c r="K6" i="6"/>
  <c r="K5" i="6"/>
  <c r="K4" i="6"/>
  <c r="F7" i="6"/>
  <c r="F6" i="6"/>
  <c r="F5" i="6"/>
  <c r="F4" i="6"/>
  <c r="F25" i="6" l="1"/>
  <c r="G25" i="6" s="1"/>
  <c r="F26" i="6"/>
  <c r="G26" i="6" s="1"/>
  <c r="F27" i="6"/>
  <c r="G27" i="6" s="1"/>
  <c r="F28" i="6"/>
  <c r="G28" i="6" s="1"/>
  <c r="F24" i="6"/>
  <c r="G24" i="6" s="1"/>
  <c r="E25" i="6"/>
  <c r="E26" i="6"/>
  <c r="E27" i="6"/>
  <c r="E28" i="6"/>
  <c r="E24" i="6"/>
</calcChain>
</file>

<file path=xl/sharedStrings.xml><?xml version="1.0" encoding="utf-8"?>
<sst xmlns="http://schemas.openxmlformats.org/spreadsheetml/2006/main" count="303" uniqueCount="132">
  <si>
    <t>Mean</t>
  </si>
  <si>
    <t>SD</t>
  </si>
  <si>
    <t>Strain</t>
  </si>
  <si>
    <t>CI</t>
  </si>
  <si>
    <t>Strains/Population</t>
  </si>
  <si>
    <t>tdTomato-high</t>
  </si>
  <si>
    <t>tdTomato-low</t>
  </si>
  <si>
    <t>Viability</t>
  </si>
  <si>
    <t>number of clones on YPD plate</t>
  </si>
  <si>
    <t>Volume spread on YPD plate (10000 times diluted)(µl)</t>
  </si>
  <si>
    <t>Repeat 1</t>
  </si>
  <si>
    <t>Repeat2</t>
  </si>
  <si>
    <t>Repeat 3</t>
  </si>
  <si>
    <t>Number of clones on YPD plate</t>
  </si>
  <si>
    <t>Number of cells sorted on YPD plate</t>
  </si>
  <si>
    <t>Repeat 2</t>
  </si>
  <si>
    <t>UCC2210</t>
  </si>
  <si>
    <t>UCC2210:tdTomato-Sir2</t>
  </si>
  <si>
    <t>Δsir2</t>
  </si>
  <si>
    <t>UCC2210:Sir2-tdTomato</t>
  </si>
  <si>
    <t>Number of clones on URA- plate</t>
  </si>
  <si>
    <t xml:space="preserve">Sorting of tdTomato-Sir2 </t>
  </si>
  <si>
    <t>Frequence (10^-3)</t>
  </si>
  <si>
    <r>
      <t>Volume spread on URA</t>
    </r>
    <r>
      <rPr>
        <vertAlign val="super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 plate (UC2210 and tdTomato-Sir2 100 times diluted, Δsir2 and Sir2-tdTomato 10000 diluted)(µl)</t>
    </r>
  </si>
  <si>
    <t>URA3 active frequency</t>
  </si>
  <si>
    <t>Number of cells sorted on URA- plate</t>
  </si>
  <si>
    <t>Frequence (10^-33)</t>
  </si>
  <si>
    <t>Low Sir2 expression subpopulation</t>
  </si>
  <si>
    <t>High Sir2 expression subpopulation</t>
  </si>
  <si>
    <t>Test</t>
  </si>
  <si>
    <t>Population</t>
  </si>
  <si>
    <t>Subpop</t>
  </si>
  <si>
    <t>Exp 1</t>
  </si>
  <si>
    <t>Exp2</t>
  </si>
  <si>
    <t>Exp3</t>
  </si>
  <si>
    <t>Control</t>
  </si>
  <si>
    <t>T test 1 vs 5</t>
  </si>
  <si>
    <t>T test 2 vs 5</t>
  </si>
  <si>
    <t>Volume spread on YPD plate (1000 times diluted)(µl)</t>
  </si>
  <si>
    <r>
      <t>Volume spread on URA</t>
    </r>
    <r>
      <rPr>
        <vertAlign val="superscript"/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 xml:space="preserve"> plate (10 times diluted)(µl)</t>
    </r>
  </si>
  <si>
    <r>
      <t xml:space="preserve">UCC2210 with an additional copy of </t>
    </r>
    <r>
      <rPr>
        <b/>
        <i/>
        <sz val="11"/>
        <color theme="1"/>
        <rFont val="Calibri"/>
        <family val="2"/>
        <scheme val="minor"/>
      </rPr>
      <t>SIR2</t>
    </r>
  </si>
  <si>
    <r>
      <t>UCC2210+</t>
    </r>
    <r>
      <rPr>
        <i/>
        <sz val="11"/>
        <color theme="1"/>
        <rFont val="Calibri"/>
        <family val="2"/>
        <scheme val="minor"/>
      </rPr>
      <t>SIR2inLEU2</t>
    </r>
  </si>
  <si>
    <t>Subpopulation expression level</t>
  </si>
  <si>
    <t>For Pearson test:</t>
  </si>
  <si>
    <t>Volume (Int)</t>
  </si>
  <si>
    <t>Adj. Vol. (Int)</t>
  </si>
  <si>
    <t>Mean Bkgd. (Int)</t>
  </si>
  <si>
    <t>Abs. Quant.</t>
  </si>
  <si>
    <t>Rel. Quant.</t>
  </si>
  <si>
    <t># of Pixels</t>
  </si>
  <si>
    <t>Min. Value (Int)</t>
  </si>
  <si>
    <t>Max. Value (Int)</t>
  </si>
  <si>
    <t>Mean Value (Int)</t>
  </si>
  <si>
    <t>Std. Dev.</t>
  </si>
  <si>
    <t>Area (mm2)</t>
  </si>
  <si>
    <t>5 901 856,000000</t>
  </si>
  <si>
    <t>8 824,306452</t>
  </si>
  <si>
    <t>N/A</t>
  </si>
  <si>
    <t>7 197,000000</t>
  </si>
  <si>
    <t>13 147,000000</t>
  </si>
  <si>
    <t>9 659,338789</t>
  </si>
  <si>
    <t>1 244,464589</t>
  </si>
  <si>
    <t>5 088 956,000000</t>
  </si>
  <si>
    <t>6 816,354839</t>
  </si>
  <si>
    <t>5 726,000000</t>
  </si>
  <si>
    <t>13 497,000000</t>
  </si>
  <si>
    <t>8 328,896890</t>
  </si>
  <si>
    <t>1 866,878281</t>
  </si>
  <si>
    <t>4 689 433,000000</t>
  </si>
  <si>
    <t>5 759,000000</t>
  </si>
  <si>
    <t>5 447,000000</t>
  </si>
  <si>
    <t>9 542,000000</t>
  </si>
  <si>
    <t>6 651,678014</t>
  </si>
  <si>
    <t>1 159,782440</t>
  </si>
  <si>
    <t>5 021 996,000000</t>
  </si>
  <si>
    <t>5 519,320313</t>
  </si>
  <si>
    <t>4 986,000000</t>
  </si>
  <si>
    <t>11 735,000000</t>
  </si>
  <si>
    <t>7 123,398582</t>
  </si>
  <si>
    <t>1 964,535818</t>
  </si>
  <si>
    <t>1 626 089 759,000000</t>
  </si>
  <si>
    <t>3 714,000000</t>
  </si>
  <si>
    <t>1 127,000000</t>
  </si>
  <si>
    <t>60 996,000000</t>
  </si>
  <si>
    <t>8 309,391542</t>
  </si>
  <si>
    <t>9 906,970082</t>
  </si>
  <si>
    <t>1 544 113 552,000000</t>
  </si>
  <si>
    <t>3 045,756156</t>
  </si>
  <si>
    <t>60 138,000000</t>
  </si>
  <si>
    <t>7 890,489450</t>
  </si>
  <si>
    <t>6 761,830230</t>
  </si>
  <si>
    <t>1 975 489 452,000000</t>
  </si>
  <si>
    <t>3 770,780195</t>
  </si>
  <si>
    <t>1 046,000000</t>
  </si>
  <si>
    <t>65 535,000000</t>
  </si>
  <si>
    <t>10 017,237814</t>
  </si>
  <si>
    <t>11 778,854977</t>
  </si>
  <si>
    <t>1 871 420 157,000000</t>
  </si>
  <si>
    <t>4 215,684211</t>
  </si>
  <si>
    <t>37 058,000000</t>
  </si>
  <si>
    <t>9 488,757292</t>
  </si>
  <si>
    <t>7 598,242321</t>
  </si>
  <si>
    <t>Quantification Stain free replicate n°1</t>
  </si>
  <si>
    <t>Quantification Stain free replicate n°2</t>
  </si>
  <si>
    <t>Quantification Sir2 replicate n°1</t>
  </si>
  <si>
    <t>Quantification Sir2 replicate n°2</t>
  </si>
  <si>
    <t>Normalization</t>
  </si>
  <si>
    <t>Replicate 1</t>
  </si>
  <si>
    <t>UCC2210+SIR2inLEU2</t>
  </si>
  <si>
    <t>Replicate 2</t>
  </si>
  <si>
    <t>Total</t>
  </si>
  <si>
    <t>Pearson test</t>
  </si>
  <si>
    <t>SD</t>
    <phoneticPr fontId="1" type="noConversion"/>
  </si>
  <si>
    <t>T0h-non sorted</t>
  </si>
  <si>
    <t>T0h-high</t>
  </si>
  <si>
    <t>T0h-low</t>
  </si>
  <si>
    <t>T6h-non sorted</t>
  </si>
  <si>
    <t>T6h-high</t>
  </si>
  <si>
    <t>T6h-low</t>
  </si>
  <si>
    <t>tdTomato-Tsl1-low</t>
  </si>
  <si>
    <t>tdTomato-Tsl1-high</t>
  </si>
  <si>
    <t>tdTomato-Sir2-low</t>
  </si>
  <si>
    <t>tdTomato-Sir2-high</t>
  </si>
  <si>
    <t>Mean fluorescence level (a.u.)</t>
  </si>
  <si>
    <t>T test Sir2</t>
  </si>
  <si>
    <t>T test Tsl1</t>
  </si>
  <si>
    <t>Example of stain-free staining</t>
  </si>
  <si>
    <t>Comparison YPD/SCD media</t>
  </si>
  <si>
    <t>tdTomato-Tsl1 strain</t>
  </si>
  <si>
    <t>Number of clones on SCD plate</t>
  </si>
  <si>
    <t>Number of cells plated on YPD plate</t>
  </si>
  <si>
    <t>Number of cells plated on SCD 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</si>
</sst>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3" fillId="0" borderId="0" xfId="0" applyNumberFormat="1" applyFont="1"/>
    <xf numFmtId="0" fontId="3" fillId="0" borderId="0" xfId="0" applyFont="1"/>
    <xf numFmtId="2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wrapText="1"/>
    </xf>
    <xf numFmtId="2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2" fontId="3" fillId="0" borderId="1" xfId="0" applyNumberFormat="1" applyFont="1" applyBorder="1"/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3" fillId="3" borderId="0" xfId="0" applyFont="1" applyFill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/>
    <xf numFmtId="2" fontId="3" fillId="2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 wrapText="1"/>
    </xf>
    <xf numFmtId="2" fontId="0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Border="1"/>
    <xf numFmtId="0" fontId="0" fillId="3" borderId="0" xfId="0" applyFill="1"/>
    <xf numFmtId="0" fontId="0" fillId="0" borderId="0" xfId="0" applyFill="1" applyBorder="1"/>
    <xf numFmtId="0" fontId="0" fillId="0" borderId="0" xfId="0" applyBorder="1"/>
    <xf numFmtId="0" fontId="2" fillId="0" borderId="0" xfId="0" applyFont="1"/>
    <xf numFmtId="2" fontId="3" fillId="2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'Silencing experiments'!$B$23</c:f>
              <c:strCache>
                <c:ptCount val="1"/>
                <c:pt idx="0">
                  <c:v>URA3 active frequency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'Silencing experiments'!$F$24:$F$27</c:f>
                <c:numCache>
                  <c:formatCode>General</c:formatCode>
                  <c:ptCount val="4"/>
                  <c:pt idx="0">
                    <c:v>1.0142235462712745</c:v>
                  </c:pt>
                  <c:pt idx="1">
                    <c:v>1.7261707883927915</c:v>
                  </c:pt>
                  <c:pt idx="2">
                    <c:v>120.54670650320193</c:v>
                  </c:pt>
                  <c:pt idx="3">
                    <c:v>105.74465037478262</c:v>
                  </c:pt>
                </c:numCache>
              </c:numRef>
            </c:plus>
            <c:minus>
              <c:numRef>
                <c:f>'Silencing experiments'!$F$24:$F$27</c:f>
                <c:numCache>
                  <c:formatCode>General</c:formatCode>
                  <c:ptCount val="4"/>
                  <c:pt idx="0">
                    <c:v>1.0142235462712745</c:v>
                  </c:pt>
                  <c:pt idx="1">
                    <c:v>1.7261707883927915</c:v>
                  </c:pt>
                  <c:pt idx="2">
                    <c:v>120.54670650320193</c:v>
                  </c:pt>
                  <c:pt idx="3">
                    <c:v>105.74465037478262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'Silencing experiments'!$A$24:$A$27</c:f>
              <c:strCache>
                <c:ptCount val="4"/>
                <c:pt idx="0">
                  <c:v>UCC2210</c:v>
                </c:pt>
                <c:pt idx="1">
                  <c:v>UCC2210:tdTomato-Sir2</c:v>
                </c:pt>
                <c:pt idx="2">
                  <c:v>UCC2210:Sir2-tdTomato</c:v>
                </c:pt>
                <c:pt idx="3">
                  <c:v>Δsir2</c:v>
                </c:pt>
              </c:strCache>
            </c:strRef>
          </c:cat>
          <c:val>
            <c:numRef>
              <c:f>'Silencing experiments'!$E$24:$E$27</c:f>
              <c:numCache>
                <c:formatCode>0.00</c:formatCode>
                <c:ptCount val="4"/>
                <c:pt idx="0">
                  <c:v>7.4865040650406511</c:v>
                </c:pt>
                <c:pt idx="1">
                  <c:v>12.952414229305276</c:v>
                </c:pt>
                <c:pt idx="2">
                  <c:v>297.66677306950368</c:v>
                </c:pt>
                <c:pt idx="3">
                  <c:v>691.36397470695704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E5-45E9-915C-9A071DEB8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656224"/>
        <c:axId val="33104784"/>
      </c:barChart>
      <c:catAx>
        <c:axId val="3196562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3104784"/>
        <c:crosses val="autoZero"/>
        <c:auto val="1"/>
        <c:lblAlgn val="ctr"/>
        <c:lblOffset val="100"/>
        <c:noMultiLvlLbl val="0"/>
      </c:catAx>
      <c:valAx>
        <c:axId val="33104784"/>
        <c:scaling>
          <c:orientation val="minMax"/>
          <c:max val="8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 b="1" i="0" u="none" strike="noStrike" baseline="0">
                    <a:effectLst/>
                  </a:rPr>
                  <a:t>Frequency of URA3 expression </a:t>
                </a: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208985563860455E-3"/>
              <c:y val="0.34029746281714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19656224"/>
        <c:crosses val="autoZero"/>
        <c:crossBetween val="between"/>
        <c:majorUnit val="3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'Silencing experiments'!$B$23</c:f>
              <c:strCache>
                <c:ptCount val="1"/>
                <c:pt idx="0">
                  <c:v>URA3 active frequency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'Silencing experiments'!$F$24:$F$27</c:f>
                <c:numCache>
                  <c:formatCode>General</c:formatCode>
                  <c:ptCount val="4"/>
                  <c:pt idx="0">
                    <c:v>1.0142235462712745</c:v>
                  </c:pt>
                  <c:pt idx="1">
                    <c:v>1.7261707883927915</c:v>
                  </c:pt>
                  <c:pt idx="2">
                    <c:v>120.54670650320193</c:v>
                  </c:pt>
                  <c:pt idx="3">
                    <c:v>105.74465037478262</c:v>
                  </c:pt>
                </c:numCache>
              </c:numRef>
            </c:plus>
            <c:minus>
              <c:numRef>
                <c:f>'Silencing experiments'!$F$24:$F$27</c:f>
                <c:numCache>
                  <c:formatCode>General</c:formatCode>
                  <c:ptCount val="4"/>
                  <c:pt idx="0">
                    <c:v>1.0142235462712745</c:v>
                  </c:pt>
                  <c:pt idx="1">
                    <c:v>1.7261707883927915</c:v>
                  </c:pt>
                  <c:pt idx="2">
                    <c:v>120.54670650320193</c:v>
                  </c:pt>
                  <c:pt idx="3">
                    <c:v>105.74465037478262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'Silencing experiments'!$A$24:$A$27</c:f>
              <c:strCache>
                <c:ptCount val="4"/>
                <c:pt idx="0">
                  <c:v>UCC2210</c:v>
                </c:pt>
                <c:pt idx="1">
                  <c:v>UCC2210:tdTomato-Sir2</c:v>
                </c:pt>
                <c:pt idx="2">
                  <c:v>UCC2210:Sir2-tdTomato</c:v>
                </c:pt>
                <c:pt idx="3">
                  <c:v>Δsir2</c:v>
                </c:pt>
              </c:strCache>
            </c:strRef>
          </c:cat>
          <c:val>
            <c:numRef>
              <c:f>'Silencing experiments'!$E$24:$E$27</c:f>
              <c:numCache>
                <c:formatCode>0.00</c:formatCode>
                <c:ptCount val="4"/>
                <c:pt idx="0">
                  <c:v>7.4865040650406511</c:v>
                </c:pt>
                <c:pt idx="1">
                  <c:v>12.952414229305276</c:v>
                </c:pt>
                <c:pt idx="2">
                  <c:v>297.66677306950368</c:v>
                </c:pt>
                <c:pt idx="3">
                  <c:v>691.36397470695704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07-4F32-AEE0-F2A9B9792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020912"/>
        <c:axId val="238021472"/>
      </c:barChart>
      <c:catAx>
        <c:axId val="23802091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38021472"/>
        <c:crosses val="autoZero"/>
        <c:auto val="1"/>
        <c:lblAlgn val="ctr"/>
        <c:lblOffset val="100"/>
        <c:noMultiLvlLbl val="0"/>
      </c:catAx>
      <c:valAx>
        <c:axId val="238021472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 b="1" i="0" u="none" strike="noStrike" baseline="0">
                    <a:effectLst/>
                  </a:rPr>
                  <a:t>Frequency of URA3 expression </a:t>
                </a:r>
                <a:endParaRPr lang="en-US" sz="8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208985563860455E-3"/>
              <c:y val="0.34029746281714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fr-F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3802091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1" i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Frequency</a:t>
            </a:r>
            <a:r>
              <a:rPr lang="en-US" sz="800" b="1" i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of URA3 expression </a:t>
            </a:r>
            <a:r>
              <a:rPr lang="en-US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(10</a:t>
            </a:r>
            <a:r>
              <a:rPr lang="en-US" sz="800" b="1" baseline="300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-3</a:t>
            </a:r>
            <a:r>
              <a:rPr lang="en-US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'Silencing experiments'!$E$28:$E$29</c:f>
              <c:strCache>
                <c:ptCount val="2"/>
                <c:pt idx="0">
                  <c:v>12,67</c:v>
                </c:pt>
                <c:pt idx="1">
                  <c:v>13,31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'Silencing experiments'!$F$28:$F$29</c:f>
                <c:numCache>
                  <c:formatCode>General</c:formatCode>
                  <c:ptCount val="2"/>
                  <c:pt idx="0">
                    <c:v>0.96212652531584697</c:v>
                  </c:pt>
                  <c:pt idx="1">
                    <c:v>0.96069846287891048</c:v>
                  </c:pt>
                </c:numCache>
              </c:numRef>
            </c:plus>
            <c:minus>
              <c:numRef>
                <c:f>'Silencing experiments'!$F$28:$F$29</c:f>
                <c:numCache>
                  <c:formatCode>General</c:formatCode>
                  <c:ptCount val="2"/>
                  <c:pt idx="0">
                    <c:v>0.96212652531584697</c:v>
                  </c:pt>
                  <c:pt idx="1">
                    <c:v>0.96069846287891048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'Silencing experiments'!$A$28:$A$29</c:f>
              <c:strCache>
                <c:ptCount val="2"/>
                <c:pt idx="0">
                  <c:v>Low Sir2 expression subpopulation</c:v>
                </c:pt>
                <c:pt idx="1">
                  <c:v>High Sir2 expression subpopulation</c:v>
                </c:pt>
              </c:strCache>
            </c:strRef>
          </c:cat>
          <c:val>
            <c:numRef>
              <c:f>'Silencing experiments'!$E$28:$E$29</c:f>
              <c:numCache>
                <c:formatCode>0.00</c:formatCode>
                <c:ptCount val="2"/>
                <c:pt idx="0">
                  <c:v>12.665085388994306</c:v>
                </c:pt>
                <c:pt idx="1">
                  <c:v>13.313131313131313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96-4CA5-AD85-B98A3F868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8024272"/>
        <c:axId val="238024832"/>
      </c:barChart>
      <c:catAx>
        <c:axId val="23802427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38024832"/>
        <c:crosses val="autoZero"/>
        <c:auto val="1"/>
        <c:lblAlgn val="ctr"/>
        <c:lblOffset val="100"/>
        <c:noMultiLvlLbl val="0"/>
      </c:catAx>
      <c:valAx>
        <c:axId val="238024832"/>
        <c:scaling>
          <c:orientation val="minMax"/>
          <c:max val="15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23802427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Viability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'Silencing experiments'!$E$33:$E$34</c:f>
              <c:strCache>
                <c:ptCount val="2"/>
                <c:pt idx="0">
                  <c:v>0,60</c:v>
                </c:pt>
                <c:pt idx="1">
                  <c:v>0,16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'Silencing experiments'!$F$33:$F$34</c:f>
                <c:numCache>
                  <c:formatCode>General</c:formatCode>
                  <c:ptCount val="2"/>
                  <c:pt idx="0">
                    <c:v>2.6943012562182539E-2</c:v>
                  </c:pt>
                  <c:pt idx="1">
                    <c:v>5.4296852101647274E-2</c:v>
                  </c:pt>
                </c:numCache>
              </c:numRef>
            </c:plus>
            <c:minus>
              <c:numRef>
                <c:f>'Silencing experiments'!$F$33:$F$34</c:f>
                <c:numCache>
                  <c:formatCode>General</c:formatCode>
                  <c:ptCount val="2"/>
                  <c:pt idx="0">
                    <c:v>2.6943012562182539E-2</c:v>
                  </c:pt>
                  <c:pt idx="1">
                    <c:v>5.4296852101647274E-2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'Silencing experiments'!$A$33:$A$34</c:f>
              <c:strCache>
                <c:ptCount val="2"/>
                <c:pt idx="0">
                  <c:v>Low Sir2 expression subpopulation</c:v>
                </c:pt>
                <c:pt idx="1">
                  <c:v>High Sir2 expression subpopulation</c:v>
                </c:pt>
              </c:strCache>
            </c:strRef>
          </c:cat>
          <c:val>
            <c:numRef>
              <c:f>'Silencing experiments'!$E$33:$E$34</c:f>
              <c:numCache>
                <c:formatCode>0.00</c:formatCode>
                <c:ptCount val="2"/>
                <c:pt idx="0">
                  <c:v>0.5955555555555555</c:v>
                </c:pt>
                <c:pt idx="1">
                  <c:v>0.15777777777777777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3E-4C8E-800C-AF9391378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478224"/>
        <c:axId val="321478784"/>
      </c:barChart>
      <c:catAx>
        <c:axId val="3214782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21478784"/>
        <c:crosses val="autoZero"/>
        <c:auto val="1"/>
        <c:lblAlgn val="ctr"/>
        <c:lblOffset val="100"/>
        <c:noMultiLvlLbl val="0"/>
      </c:catAx>
      <c:valAx>
        <c:axId val="321478784"/>
        <c:scaling>
          <c:orientation val="minMax"/>
          <c:max val="0.8"/>
          <c:min val="0"/>
        </c:scaling>
        <c:delete val="0"/>
        <c:axPos val="l"/>
        <c:numFmt formatCode="0.0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32147822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50" b="1" i="0" baseline="0">
                <a:effectLst/>
              </a:rPr>
              <a:t>Frequency of URA3 expression  (10</a:t>
            </a:r>
            <a:r>
              <a:rPr lang="en-US" sz="1050" b="1" i="0" baseline="30000">
                <a:effectLst/>
              </a:rPr>
              <a:t>-3</a:t>
            </a:r>
            <a:r>
              <a:rPr lang="en-US" sz="1050" b="1" i="0" baseline="0">
                <a:effectLst/>
              </a:rPr>
              <a:t>)</a:t>
            </a:r>
            <a:endParaRPr lang="fr-FR" sz="1050">
              <a:effectLst/>
            </a:endParaRPr>
          </a:p>
        </c:rich>
      </c:tx>
      <c:layout>
        <c:manualLayout>
          <c:xMode val="edge"/>
          <c:yMode val="edge"/>
          <c:x val="0.3131111111111111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5483814523184598E-2"/>
          <c:y val="0.12614259929764415"/>
          <c:w val="0.88396062992125979"/>
          <c:h val="0.62293270485012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'Silencing experiments'!$A$85:$A$86</c:f>
              <c:strCache>
                <c:ptCount val="2"/>
                <c:pt idx="0">
                  <c:v>UCC2210</c:v>
                </c:pt>
                <c:pt idx="1">
                  <c:v>UCC2210+SIR2inLEU2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'Silencing experiments'!$F$85:$F$86</c:f>
                <c:numCache>
                  <c:formatCode>General</c:formatCode>
                  <c:ptCount val="2"/>
                  <c:pt idx="0">
                    <c:v>0.43939852089935411</c:v>
                  </c:pt>
                  <c:pt idx="1">
                    <c:v>0.43330438582272818</c:v>
                  </c:pt>
                </c:numCache>
              </c:numRef>
            </c:plus>
            <c:minus>
              <c:numRef>
                <c:f>'Silencing experiments'!$F$85:$F$86</c:f>
                <c:numCache>
                  <c:formatCode>General</c:formatCode>
                  <c:ptCount val="2"/>
                  <c:pt idx="0">
                    <c:v>0.43939852089935411</c:v>
                  </c:pt>
                  <c:pt idx="1">
                    <c:v>0.43330438582272818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'Silencing experiments'!$A$85:$A$86</c:f>
              <c:strCache>
                <c:ptCount val="2"/>
                <c:pt idx="0">
                  <c:v>UCC2210</c:v>
                </c:pt>
                <c:pt idx="1">
                  <c:v>UCC2210+SIR2inLEU2</c:v>
                </c:pt>
              </c:strCache>
            </c:strRef>
          </c:cat>
          <c:val>
            <c:numRef>
              <c:f>'Silencing experiments'!$E$85:$E$86</c:f>
              <c:numCache>
                <c:formatCode>0.00</c:formatCode>
                <c:ptCount val="2"/>
                <c:pt idx="0">
                  <c:v>1.711699759331009</c:v>
                </c:pt>
                <c:pt idx="1">
                  <c:v>1.7518686345644661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1481584"/>
        <c:axId val="321482144"/>
      </c:barChart>
      <c:catAx>
        <c:axId val="321481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21482144"/>
        <c:crosses val="autoZero"/>
        <c:auto val="1"/>
        <c:lblAlgn val="ctr"/>
        <c:lblOffset val="100"/>
        <c:noMultiLvlLbl val="0"/>
      </c:catAx>
      <c:valAx>
        <c:axId val="321482144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1481584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Viability on 5 subpopulations</a:t>
            </a:r>
          </a:p>
        </c:rich>
      </c:tx>
      <c:layout>
        <c:manualLayout>
          <c:xMode val="edge"/>
          <c:yMode val="edge"/>
          <c:x val="0.34799449718317926"/>
          <c:y val="2.77778687227506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[1]Feuil1!$A$3:$A$7</c:f>
              <c:strCache>
                <c:ptCount val="1"/>
                <c:pt idx="0">
                  <c:v>1 2 3 4 5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[1]Feuil1!$F$3:$F$8</c:f>
                <c:numCache>
                  <c:formatCode>General</c:formatCode>
                  <c:ptCount val="6"/>
                  <c:pt idx="0">
                    <c:v>0.17566803710197057</c:v>
                  </c:pt>
                  <c:pt idx="1">
                    <c:v>0.15001234517100184</c:v>
                  </c:pt>
                  <c:pt idx="2">
                    <c:v>0.12672513270562896</c:v>
                  </c:pt>
                  <c:pt idx="3">
                    <c:v>0.17755541649278384</c:v>
                  </c:pt>
                  <c:pt idx="4">
                    <c:v>9.1002645464192386E-2</c:v>
                  </c:pt>
                  <c:pt idx="5">
                    <c:v>5.4569018479149627E-2</c:v>
                  </c:pt>
                </c:numCache>
              </c:numRef>
            </c:plus>
            <c:minus>
              <c:numRef>
                <c:f>[1]Feuil1!$F$3:$F$8</c:f>
                <c:numCache>
                  <c:formatCode>General</c:formatCode>
                  <c:ptCount val="6"/>
                  <c:pt idx="0">
                    <c:v>0.17566803710197057</c:v>
                  </c:pt>
                  <c:pt idx="1">
                    <c:v>0.15001234517100184</c:v>
                  </c:pt>
                  <c:pt idx="2">
                    <c:v>0.12672513270562896</c:v>
                  </c:pt>
                  <c:pt idx="3">
                    <c:v>0.17755541649278384</c:v>
                  </c:pt>
                  <c:pt idx="4">
                    <c:v>9.1002645464192386E-2</c:v>
                  </c:pt>
                  <c:pt idx="5">
                    <c:v>5.4569018479149627E-2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[1]Feuil1!$E$3:$E$7</c:f>
              <c:numCache>
                <c:formatCode>General</c:formatCode>
                <c:ptCount val="5"/>
                <c:pt idx="0">
                  <c:v>0.46444444444444444</c:v>
                </c:pt>
                <c:pt idx="1">
                  <c:v>0.52888888888888885</c:v>
                </c:pt>
                <c:pt idx="2">
                  <c:v>0.43555555555555553</c:v>
                </c:pt>
                <c:pt idx="3">
                  <c:v>0.31777777777777777</c:v>
                </c:pt>
                <c:pt idx="4">
                  <c:v>0.18888888888888888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571152"/>
        <c:axId val="318571712"/>
      </c:barChart>
      <c:catAx>
        <c:axId val="318571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571712"/>
        <c:crosses val="autoZero"/>
        <c:auto val="1"/>
        <c:lblAlgn val="ctr"/>
        <c:lblOffset val="100"/>
        <c:noMultiLvlLbl val="0"/>
      </c:catAx>
      <c:valAx>
        <c:axId val="31857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57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'Western blotting'!$C$34:$C$35</c:f>
                <c:numCache>
                  <c:formatCode>General</c:formatCode>
                  <c:ptCount val="2"/>
                  <c:pt idx="0">
                    <c:v>3.9922521880048144E-5</c:v>
                  </c:pt>
                  <c:pt idx="1">
                    <c:v>7.9638568216374234E-5</c:v>
                  </c:pt>
                </c:numCache>
              </c:numRef>
            </c:plus>
            <c:minus>
              <c:numRef>
                <c:f>'Western blotting'!$C$34:$C$35</c:f>
                <c:numCache>
                  <c:formatCode>General</c:formatCode>
                  <c:ptCount val="2"/>
                  <c:pt idx="0">
                    <c:v>3.9922521880048144E-5</c:v>
                  </c:pt>
                  <c:pt idx="1">
                    <c:v>7.9638568216374234E-5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'Western blotting'!$B$34:$B$35</c:f>
              <c:numCache>
                <c:formatCode>General</c:formatCode>
                <c:ptCount val="2"/>
                <c:pt idx="0">
                  <c:v>5.3911480993217172E-4</c:v>
                </c:pt>
                <c:pt idx="1">
                  <c:v>1.0310859979842019E-3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573952"/>
        <c:axId val="318574512"/>
      </c:barChart>
      <c:catAx>
        <c:axId val="31857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574512"/>
        <c:crosses val="autoZero"/>
        <c:auto val="1"/>
        <c:lblAlgn val="ctr"/>
        <c:lblOffset val="100"/>
        <c:noMultiLvlLbl val="0"/>
      </c:catAx>
      <c:valAx>
        <c:axId val="31857451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57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918119540818104E-2"/>
          <c:y val="2.5287895923578663E-2"/>
          <c:w val="0.91614116580751148"/>
          <c:h val="0.943877899408915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'Recovery experiment'!$C$2:$C$7</c:f>
                <c:numCache>
                  <c:formatCode>General</c:formatCode>
                  <c:ptCount val="6"/>
                  <c:pt idx="0">
                    <c:v>0.13400000000000001</c:v>
                  </c:pt>
                  <c:pt idx="1">
                    <c:v>7.4999999999999997E-2</c:v>
                  </c:pt>
                  <c:pt idx="2">
                    <c:v>3.3000000000000002E-2</c:v>
                  </c:pt>
                  <c:pt idx="3">
                    <c:v>0.14399999999999999</c:v>
                  </c:pt>
                  <c:pt idx="4">
                    <c:v>0.14699999999999999</c:v>
                  </c:pt>
                  <c:pt idx="5">
                    <c:v>0.17799999999999999</c:v>
                  </c:pt>
                </c:numCache>
              </c:numRef>
            </c:plus>
            <c:minus>
              <c:numRef>
                <c:f>'Recovery experiment'!$C$2:$C$7</c:f>
                <c:numCache>
                  <c:formatCode>General</c:formatCode>
                  <c:ptCount val="6"/>
                  <c:pt idx="0">
                    <c:v>0.13400000000000001</c:v>
                  </c:pt>
                  <c:pt idx="1">
                    <c:v>7.4999999999999997E-2</c:v>
                  </c:pt>
                  <c:pt idx="2">
                    <c:v>3.3000000000000002E-2</c:v>
                  </c:pt>
                  <c:pt idx="3">
                    <c:v>0.14399999999999999</c:v>
                  </c:pt>
                  <c:pt idx="4">
                    <c:v>0.14699999999999999</c:v>
                  </c:pt>
                  <c:pt idx="5">
                    <c:v>0.17799999999999999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'Recovery experiment'!$B$2:$B$7</c:f>
              <c:numCache>
                <c:formatCode>General</c:formatCode>
                <c:ptCount val="6"/>
                <c:pt idx="0">
                  <c:v>15</c:v>
                </c:pt>
                <c:pt idx="1">
                  <c:v>6</c:v>
                </c:pt>
                <c:pt idx="2">
                  <c:v>37</c:v>
                </c:pt>
                <c:pt idx="3">
                  <c:v>17</c:v>
                </c:pt>
                <c:pt idx="4">
                  <c:v>11</c:v>
                </c:pt>
                <c:pt idx="5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576752"/>
        <c:axId val="318577312"/>
      </c:barChart>
      <c:catAx>
        <c:axId val="318576752"/>
        <c:scaling>
          <c:orientation val="minMax"/>
        </c:scaling>
        <c:delete val="1"/>
        <c:axPos val="b"/>
        <c:numFmt formatCode="@" sourceLinked="0"/>
        <c:majorTickMark val="none"/>
        <c:minorTickMark val="none"/>
        <c:tickLblPos val="nextTo"/>
        <c:crossAx val="318577312"/>
        <c:crosses val="autoZero"/>
        <c:auto val="0"/>
        <c:lblAlgn val="ctr"/>
        <c:lblOffset val="100"/>
        <c:noMultiLvlLbl val="0"/>
      </c:catAx>
      <c:valAx>
        <c:axId val="31857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57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85970705274744E-2"/>
          <c:y val="0.15782407407407409"/>
          <c:w val="0.90641986283972564"/>
          <c:h val="0.777361111111111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noFill/>
              </a:ln>
              <a:effectLst/>
            </c:spPr>
          </c:dPt>
          <c:errBars>
            <c:errBarType val="both"/>
            <c:errValType val="cust"/>
            <c:noEndCap val="0"/>
            <c:plus>
              <c:numRef>
                <c:f>'Viability tdTomato-Tsl1'!$F$10:$F$13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6.9742383096650928E-2</c:v>
                  </c:pt>
                  <c:pt idx="2">
                    <c:v>0.12918720266858222</c:v>
                  </c:pt>
                  <c:pt idx="3">
                    <c:v>6.8857340446268664E-2</c:v>
                  </c:pt>
                </c:numCache>
              </c:numRef>
            </c:plus>
            <c:minus>
              <c:numRef>
                <c:f>'Viability tdTomato-Tsl1'!$F$10:$F$13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6.9742383096650928E-2</c:v>
                  </c:pt>
                  <c:pt idx="2">
                    <c:v>0.12918720266858222</c:v>
                  </c:pt>
                  <c:pt idx="3">
                    <c:v>6.8857340446268664E-2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'Viability tdTomato-Tsl1'!$E$10:$E$13</c:f>
              <c:numCache>
                <c:formatCode>0.00</c:formatCode>
                <c:ptCount val="4"/>
                <c:pt idx="0">
                  <c:v>0.41199999999999998</c:v>
                </c:pt>
                <c:pt idx="1">
                  <c:v>0.28399999999999997</c:v>
                </c:pt>
                <c:pt idx="2">
                  <c:v>0.3086666666666667</c:v>
                </c:pt>
                <c:pt idx="3">
                  <c:v>0.30866666666666664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925264"/>
        <c:axId val="318925824"/>
      </c:barChart>
      <c:catAx>
        <c:axId val="318925264"/>
        <c:scaling>
          <c:orientation val="minMax"/>
        </c:scaling>
        <c:delete val="1"/>
        <c:axPos val="b"/>
        <c:majorTickMark val="none"/>
        <c:minorTickMark val="none"/>
        <c:tickLblPos val="nextTo"/>
        <c:crossAx val="318925824"/>
        <c:crosses val="autoZero"/>
        <c:auto val="1"/>
        <c:lblAlgn val="ctr"/>
        <c:lblOffset val="100"/>
        <c:noMultiLvlLbl val="0"/>
      </c:catAx>
      <c:valAx>
        <c:axId val="318925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892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1428751</xdr:colOff>
      <xdr:row>24</xdr:row>
      <xdr:rowOff>19049</xdr:rowOff>
    </xdr:from>
    <xdr:to>
      <xdr:col>17</xdr:col>
      <xdr:colOff>0</xdr:colOff>
      <xdr:row>45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D0DC7EFB-5603-4DDD-A030-9A0FDDC5A8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1466850</xdr:colOff>
      <xdr:row>46</xdr:row>
      <xdr:rowOff>57150</xdr:rowOff>
    </xdr:from>
    <xdr:to>
      <xdr:col>17</xdr:col>
      <xdr:colOff>38099</xdr:colOff>
      <xdr:row>67</xdr:row>
      <xdr:rowOff>142876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945FFEA0-DE72-4773-B0AC-7E6BB1B3D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1152525</xdr:colOff>
      <xdr:row>37</xdr:row>
      <xdr:rowOff>114300</xdr:rowOff>
    </xdr:from>
    <xdr:to>
      <xdr:col>3</xdr:col>
      <xdr:colOff>1571625</xdr:colOff>
      <xdr:row>52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1B364F1E-5F93-46F3-9512-99EC78DE8D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994834</xdr:colOff>
      <xdr:row>54</xdr:row>
      <xdr:rowOff>148167</xdr:rowOff>
    </xdr:from>
    <xdr:to>
      <xdr:col>3</xdr:col>
      <xdr:colOff>1409701</xdr:colOff>
      <xdr:row>69</xdr:row>
      <xdr:rowOff>97367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2753422B-6A7A-48A0-A043-0E5D27B6C2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290946</xdr:colOff>
      <xdr:row>87</xdr:row>
      <xdr:rowOff>117765</xdr:rowOff>
    </xdr:from>
    <xdr:to>
      <xdr:col>5</xdr:col>
      <xdr:colOff>256310</xdr:colOff>
      <xdr:row>110</xdr:row>
      <xdr:rowOff>6927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0.29884</cdr:x>
      <cdr:y>0.76898</cdr:y>
    </cdr:from>
    <cdr:to>
      <cdr:x>0.35606</cdr:x>
      <cdr:y>0.98725</cdr:y>
    </cdr:to>
    <cdr:sp macro="" textlink="">
      <cdr:nvSpPr>
        <cdr:cNvPr id="2" name="ZoneTexte 16"/>
        <cdr:cNvSpPr txBox="1"/>
      </cdr:nvSpPr>
      <cdr:spPr>
        <a:xfrm xmlns:a="http://schemas.openxmlformats.org/drawingml/2006/main" rot="18600000">
          <a:off x="1140275" y="2740348"/>
          <a:ext cx="713657" cy="261610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100" dirty="0" smtClean="0"/>
            <a:t>UCC2210</a:t>
          </a:r>
          <a:endParaRPr lang="fr-FR" sz="1100" dirty="0"/>
        </a:p>
      </cdr:txBody>
    </cdr:sp>
  </cdr:relSizeAnchor>
  <cdr:relSizeAnchor xmlns:cdr="http://schemas.openxmlformats.org/drawingml/2006/chartDrawing">
    <cdr:from>
      <cdr:x>0.68454</cdr:x>
      <cdr:y>0.73418</cdr:y>
    </cdr:from>
    <cdr:to>
      <cdr:x>0.77879</cdr:x>
      <cdr:y>0.98725</cdr:y>
    </cdr:to>
    <cdr:sp macro="" textlink="">
      <cdr:nvSpPr>
        <cdr:cNvPr id="3" name="ZoneTexte 17"/>
        <cdr:cNvSpPr txBox="1"/>
      </cdr:nvSpPr>
      <cdr:spPr>
        <a:xfrm xmlns:a="http://schemas.openxmlformats.org/drawingml/2006/main" rot="18600000">
          <a:off x="2931438" y="2598803"/>
          <a:ext cx="827471" cy="43088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 dirty="0" smtClean="0"/>
            <a:t>UCC2210+</a:t>
          </a:r>
        </a:p>
        <a:p xmlns:a="http://schemas.openxmlformats.org/drawingml/2006/main">
          <a:pPr algn="ctr"/>
          <a:r>
            <a:rPr lang="en-US" sz="1100" i="1" dirty="0" smtClean="0"/>
            <a:t>SIR2inLEU2</a:t>
          </a:r>
          <a:endParaRPr lang="fr-FR" sz="1100" dirty="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8</xdr:row>
      <xdr:rowOff>7620</xdr:rowOff>
    </xdr:from>
    <xdr:to>
      <xdr:col>7</xdr:col>
      <xdr:colOff>518160</xdr:colOff>
      <xdr:row>28</xdr:row>
      <xdr:rowOff>15240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472440</xdr:colOff>
      <xdr:row>22</xdr:row>
      <xdr:rowOff>76200</xdr:rowOff>
    </xdr:from>
    <xdr:to>
      <xdr:col>7</xdr:col>
      <xdr:colOff>289560</xdr:colOff>
      <xdr:row>37</xdr:row>
      <xdr:rowOff>76200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236220</xdr:colOff>
      <xdr:row>20</xdr:row>
      <xdr:rowOff>116327</xdr:rowOff>
    </xdr:from>
    <xdr:to>
      <xdr:col>9</xdr:col>
      <xdr:colOff>510539</xdr:colOff>
      <xdr:row>36</xdr:row>
      <xdr:rowOff>104140</xdr:rowOff>
    </xdr:to>
    <xdr:pic>
      <xdr:nvPicPr>
        <xdr:cNvPr id="6" name="Image 5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7479" t="3831" r="63370" b="21513"/>
        <a:stretch/>
      </xdr:blipFill>
      <xdr:spPr>
        <a:xfrm>
          <a:off x="8526780" y="3773927"/>
          <a:ext cx="1066799" cy="291389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487680</xdr:colOff>
      <xdr:row>1</xdr:row>
      <xdr:rowOff>114300</xdr:rowOff>
    </xdr:from>
    <xdr:to>
      <xdr:col>10</xdr:col>
      <xdr:colOff>99060</xdr:colOff>
      <xdr:row>17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6</xdr:row>
      <xdr:rowOff>99060</xdr:rowOff>
    </xdr:from>
    <xdr:to>
      <xdr:col>14</xdr:col>
      <xdr:colOff>426720</xdr:colOff>
      <xdr:row>21</xdr:row>
      <xdr:rowOff>99060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pp/Desktop/Documents/Recherche/Articles%20en%20cours%20et%20archives%20articles/2017/Sir2/BMC%20Molecular%20Biology/Revision/Viabilit&#233;%20sur%205%20sousp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3">
          <cell r="A3">
            <v>1</v>
          </cell>
          <cell r="E3">
            <v>0.46444444444444444</v>
          </cell>
          <cell r="F3">
            <v>0.17566803710197057</v>
          </cell>
        </row>
        <row r="4">
          <cell r="A4">
            <v>2</v>
          </cell>
          <cell r="E4">
            <v>0.52888888888888885</v>
          </cell>
          <cell r="F4">
            <v>0.15001234517100184</v>
          </cell>
        </row>
        <row r="5">
          <cell r="A5">
            <v>3</v>
          </cell>
          <cell r="E5">
            <v>0.43555555555555553</v>
          </cell>
          <cell r="F5">
            <v>0.12672513270562896</v>
          </cell>
        </row>
        <row r="6">
          <cell r="A6">
            <v>4</v>
          </cell>
          <cell r="E6">
            <v>0.31777777777777777</v>
          </cell>
          <cell r="F6">
            <v>0.17755541649278384</v>
          </cell>
        </row>
        <row r="7">
          <cell r="A7">
            <v>5</v>
          </cell>
          <cell r="E7">
            <v>0.18888888888888888</v>
          </cell>
          <cell r="F7">
            <v>9.1002645464192386E-2</v>
          </cell>
        </row>
        <row r="8">
          <cell r="F8">
            <v>5.4569018479149627E-2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"/>
  <sheetViews>
    <sheetView tabSelected="1" zoomScale="110" zoomScaleNormal="110" workbookViewId="0">
      <selection activeCell="E16" sqref="E16"/>
    </sheetView>
  </sheetViews>
  <sheetFormatPr baseColWidth="10" defaultColWidth="9.109375" defaultRowHeight="14.4" x14ac:dyDescent="0.3"/>
  <cols>
    <col min="1" max="1" width="31.109375" style="2" customWidth="1"/>
    <col min="2" max="2" width="20.33203125" style="2" customWidth="1"/>
    <col min="3" max="3" width="9.109375" style="2"/>
    <col min="4" max="4" width="28.6640625" style="2" customWidth="1"/>
    <col min="5" max="5" width="9.109375" style="2"/>
    <col min="6" max="6" width="10.6640625" style="2" customWidth="1"/>
    <col min="7" max="7" width="15.109375" style="2" customWidth="1"/>
    <col min="8" max="8" width="9.109375" style="2"/>
    <col min="9" max="9" width="29.44140625" style="2" customWidth="1"/>
    <col min="10" max="10" width="9.109375" style="2"/>
    <col min="11" max="11" width="11.6640625" style="2" customWidth="1"/>
    <col min="12" max="12" width="16.109375" style="2" customWidth="1"/>
    <col min="13" max="13" width="9.109375" style="2"/>
    <col min="14" max="14" width="27.5546875" style="2" customWidth="1"/>
    <col min="15" max="15" width="9.109375" style="2"/>
    <col min="16" max="16" width="14.6640625" style="2" customWidth="1"/>
    <col min="17" max="17" width="9.109375" style="2"/>
    <col min="18" max="18" width="10" style="2" customWidth="1"/>
    <col min="19" max="16384" width="9.109375" style="2"/>
  </cols>
  <sheetData>
    <row r="1" spans="1:19" ht="15" customHeight="1" x14ac:dyDescent="0.3">
      <c r="A1" s="38" t="s">
        <v>24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1"/>
      <c r="R1" s="1"/>
      <c r="S1" s="1"/>
    </row>
    <row r="2" spans="1:19" x14ac:dyDescent="0.3">
      <c r="A2" s="36" t="s">
        <v>2</v>
      </c>
      <c r="B2" s="37" t="s">
        <v>10</v>
      </c>
      <c r="C2" s="37"/>
      <c r="D2" s="37"/>
      <c r="E2" s="37"/>
      <c r="F2" s="37"/>
      <c r="G2" s="37" t="s">
        <v>11</v>
      </c>
      <c r="H2" s="37"/>
      <c r="I2" s="37"/>
      <c r="J2" s="37"/>
      <c r="K2" s="37"/>
      <c r="L2" s="37" t="s">
        <v>12</v>
      </c>
      <c r="M2" s="37"/>
      <c r="N2" s="37"/>
      <c r="O2" s="37"/>
      <c r="P2" s="37"/>
      <c r="Q2" s="1"/>
      <c r="R2" s="1"/>
      <c r="S2" s="1"/>
    </row>
    <row r="3" spans="1:19" ht="58.2" customHeight="1" x14ac:dyDescent="0.3">
      <c r="A3" s="36"/>
      <c r="B3" s="3" t="s">
        <v>9</v>
      </c>
      <c r="C3" s="3" t="s">
        <v>8</v>
      </c>
      <c r="D3" s="3" t="s">
        <v>23</v>
      </c>
      <c r="E3" s="3" t="s">
        <v>20</v>
      </c>
      <c r="F3" s="3" t="s">
        <v>22</v>
      </c>
      <c r="G3" s="3" t="s">
        <v>9</v>
      </c>
      <c r="H3" s="3" t="s">
        <v>8</v>
      </c>
      <c r="I3" s="3" t="s">
        <v>23</v>
      </c>
      <c r="J3" s="3" t="s">
        <v>20</v>
      </c>
      <c r="K3" s="3" t="s">
        <v>22</v>
      </c>
      <c r="L3" s="3" t="s">
        <v>9</v>
      </c>
      <c r="M3" s="3" t="s">
        <v>8</v>
      </c>
      <c r="N3" s="3" t="s">
        <v>23</v>
      </c>
      <c r="O3" s="3" t="s">
        <v>20</v>
      </c>
      <c r="P3" s="3" t="s">
        <v>22</v>
      </c>
      <c r="Q3" s="1"/>
      <c r="R3" s="1"/>
      <c r="S3" s="1"/>
    </row>
    <row r="4" spans="1:19" ht="15" x14ac:dyDescent="0.25">
      <c r="A4" s="4" t="s">
        <v>16</v>
      </c>
      <c r="B4" s="5">
        <v>100</v>
      </c>
      <c r="C4" s="5">
        <v>120</v>
      </c>
      <c r="D4" s="5">
        <v>100</v>
      </c>
      <c r="E4" s="5">
        <v>76</v>
      </c>
      <c r="F4" s="5">
        <f>(E4/(((C4/B4)*100)*D4))*1000</f>
        <v>6.333333333333333</v>
      </c>
      <c r="G4" s="5">
        <v>100</v>
      </c>
      <c r="H4" s="5">
        <v>125</v>
      </c>
      <c r="I4" s="5">
        <v>100</v>
      </c>
      <c r="J4" s="5">
        <v>103</v>
      </c>
      <c r="K4" s="5">
        <f>(J4/(((H4/G4)*100)*I4))*1000</f>
        <v>8.24</v>
      </c>
      <c r="L4" s="5">
        <v>100</v>
      </c>
      <c r="M4" s="5">
        <v>123</v>
      </c>
      <c r="N4" s="5">
        <v>100</v>
      </c>
      <c r="O4" s="5">
        <v>97</v>
      </c>
      <c r="P4" s="5">
        <f>(O4/(((M4/L4)*100)*N4))*1000</f>
        <v>7.8861788617886184</v>
      </c>
      <c r="Q4" s="1"/>
      <c r="R4" s="1"/>
      <c r="S4" s="1"/>
    </row>
    <row r="5" spans="1:19" ht="15" x14ac:dyDescent="0.25">
      <c r="A5" s="4" t="s">
        <v>17</v>
      </c>
      <c r="B5" s="5">
        <v>100</v>
      </c>
      <c r="C5" s="5">
        <v>130</v>
      </c>
      <c r="D5" s="5">
        <v>100</v>
      </c>
      <c r="E5" s="5">
        <v>150</v>
      </c>
      <c r="F5" s="5">
        <f>(E5/(((C5/B5)*100)*D5))*1000</f>
        <v>11.538461538461538</v>
      </c>
      <c r="G5" s="5">
        <v>100</v>
      </c>
      <c r="H5" s="5">
        <v>121</v>
      </c>
      <c r="I5" s="5">
        <v>100</v>
      </c>
      <c r="J5" s="5">
        <v>180</v>
      </c>
      <c r="K5" s="5">
        <f>(J5/(((H5/G5)*100)*I5))*1000</f>
        <v>14.87603305785124</v>
      </c>
      <c r="L5" s="5">
        <v>100</v>
      </c>
      <c r="M5" s="5">
        <v>131</v>
      </c>
      <c r="N5" s="5">
        <v>100</v>
      </c>
      <c r="O5" s="5">
        <v>163</v>
      </c>
      <c r="P5" s="5">
        <f>(O5/(((M5/L5)*100)*N5))*1000</f>
        <v>12.442748091603054</v>
      </c>
      <c r="Q5" s="1"/>
      <c r="R5" s="1"/>
      <c r="S5" s="1"/>
    </row>
    <row r="6" spans="1:19" ht="15" x14ac:dyDescent="0.25">
      <c r="A6" s="4" t="s">
        <v>19</v>
      </c>
      <c r="B6" s="5">
        <v>100</v>
      </c>
      <c r="C6" s="5">
        <v>117</v>
      </c>
      <c r="D6" s="5">
        <v>100</v>
      </c>
      <c r="E6" s="5">
        <v>31</v>
      </c>
      <c r="F6" s="5">
        <f>(E6/(((C6/B6))*D6))*1000</f>
        <v>264.95726495726495</v>
      </c>
      <c r="G6" s="5">
        <v>100</v>
      </c>
      <c r="H6" s="5">
        <v>127</v>
      </c>
      <c r="I6" s="5">
        <v>100</v>
      </c>
      <c r="J6" s="5">
        <v>25</v>
      </c>
      <c r="K6" s="5">
        <f>(J6/(((H6/G6))*I6))*1000</f>
        <v>196.85039370078741</v>
      </c>
      <c r="L6" s="5">
        <v>100</v>
      </c>
      <c r="M6" s="5">
        <v>109</v>
      </c>
      <c r="N6" s="5">
        <v>100</v>
      </c>
      <c r="O6" s="5">
        <v>47</v>
      </c>
      <c r="P6" s="5">
        <f>(O6/(((M6/L6))*N6))*1000</f>
        <v>431.1926605504587</v>
      </c>
      <c r="Q6" s="1"/>
      <c r="R6" s="1"/>
      <c r="S6" s="1"/>
    </row>
    <row r="7" spans="1:19" x14ac:dyDescent="0.3">
      <c r="A7" s="6" t="s">
        <v>18</v>
      </c>
      <c r="B7" s="5">
        <v>100</v>
      </c>
      <c r="C7" s="5">
        <v>110</v>
      </c>
      <c r="D7" s="5">
        <v>100</v>
      </c>
      <c r="E7" s="5">
        <v>63</v>
      </c>
      <c r="F7" s="5">
        <f>(E7/(((C7/B7))*D7))*1000</f>
        <v>572.72727272727263</v>
      </c>
      <c r="G7" s="5">
        <v>100</v>
      </c>
      <c r="H7" s="5">
        <v>113</v>
      </c>
      <c r="I7" s="5">
        <v>100</v>
      </c>
      <c r="J7" s="5">
        <v>82</v>
      </c>
      <c r="K7" s="5">
        <f>(J7/(((H7/G7))*I7))*1000</f>
        <v>725.66371681415944</v>
      </c>
      <c r="L7" s="5">
        <v>100</v>
      </c>
      <c r="M7" s="5">
        <v>107</v>
      </c>
      <c r="N7" s="5">
        <v>100</v>
      </c>
      <c r="O7" s="5">
        <v>83</v>
      </c>
      <c r="P7" s="5">
        <f>(O7/(((M7/L7))*N7))*1000</f>
        <v>775.70093457943926</v>
      </c>
      <c r="Q7" s="1"/>
      <c r="R7" s="1"/>
      <c r="S7" s="1"/>
    </row>
    <row r="8" spans="1:19" ht="1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1"/>
      <c r="M8" s="1"/>
      <c r="N8" s="1"/>
      <c r="O8" s="1"/>
      <c r="P8" s="1"/>
      <c r="Q8" s="1"/>
      <c r="R8" s="1"/>
      <c r="S8" s="1"/>
    </row>
    <row r="9" spans="1:19" ht="1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1"/>
      <c r="M9" s="1"/>
      <c r="N9" s="1"/>
      <c r="O9" s="1"/>
      <c r="P9" s="1"/>
      <c r="Q9" s="1"/>
      <c r="R9" s="1"/>
      <c r="S9" s="1"/>
    </row>
    <row r="10" spans="1:19" ht="1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1"/>
      <c r="M10" s="1"/>
      <c r="N10" s="1"/>
      <c r="O10" s="1"/>
      <c r="P10" s="1"/>
      <c r="Q10" s="1"/>
      <c r="R10" s="1"/>
      <c r="S10" s="1"/>
    </row>
    <row r="11" spans="1:19" s="8" customFormat="1" ht="1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1:19" s="8" customFormat="1" ht="15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</row>
    <row r="13" spans="1:19" ht="15" x14ac:dyDescent="0.25">
      <c r="A13" s="7"/>
      <c r="B13" s="7"/>
      <c r="C13" s="7"/>
      <c r="D13" s="7"/>
      <c r="E13" s="7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15" x14ac:dyDescent="0.25">
      <c r="A14" s="37" t="s">
        <v>21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</row>
    <row r="15" spans="1:19" ht="15" x14ac:dyDescent="0.25">
      <c r="A15" s="9"/>
      <c r="B15" s="37" t="s">
        <v>10</v>
      </c>
      <c r="C15" s="37"/>
      <c r="D15" s="37"/>
      <c r="E15" s="37"/>
      <c r="F15" s="37"/>
      <c r="G15" s="37"/>
      <c r="H15" s="37" t="s">
        <v>15</v>
      </c>
      <c r="I15" s="37"/>
      <c r="J15" s="37"/>
      <c r="K15" s="37"/>
      <c r="L15" s="37"/>
      <c r="M15" s="37"/>
      <c r="N15" s="37" t="s">
        <v>12</v>
      </c>
      <c r="O15" s="37"/>
      <c r="P15" s="37"/>
      <c r="Q15" s="37"/>
      <c r="R15" s="37"/>
      <c r="S15" s="37"/>
    </row>
    <row r="16" spans="1:19" ht="72" x14ac:dyDescent="0.3">
      <c r="A16" s="3"/>
      <c r="B16" s="3" t="s">
        <v>14</v>
      </c>
      <c r="C16" s="3" t="s">
        <v>13</v>
      </c>
      <c r="D16" s="3" t="s">
        <v>25</v>
      </c>
      <c r="E16" s="19" t="s">
        <v>20</v>
      </c>
      <c r="F16" s="3" t="s">
        <v>22</v>
      </c>
      <c r="G16" s="3" t="s">
        <v>7</v>
      </c>
      <c r="H16" s="3" t="s">
        <v>14</v>
      </c>
      <c r="I16" s="3" t="s">
        <v>13</v>
      </c>
      <c r="J16" s="3" t="s">
        <v>25</v>
      </c>
      <c r="K16" s="3" t="s">
        <v>20</v>
      </c>
      <c r="L16" s="3" t="s">
        <v>26</v>
      </c>
      <c r="M16" s="3" t="s">
        <v>7</v>
      </c>
      <c r="N16" s="3" t="s">
        <v>14</v>
      </c>
      <c r="O16" s="3" t="s">
        <v>13</v>
      </c>
      <c r="P16" s="3" t="s">
        <v>25</v>
      </c>
      <c r="Q16" s="3" t="s">
        <v>20</v>
      </c>
      <c r="R16" s="3" t="s">
        <v>22</v>
      </c>
      <c r="S16" s="3" t="s">
        <v>7</v>
      </c>
    </row>
    <row r="17" spans="1:19" x14ac:dyDescent="0.3">
      <c r="A17" s="5" t="s">
        <v>6</v>
      </c>
      <c r="B17" s="5">
        <v>150</v>
      </c>
      <c r="C17" s="5">
        <v>85</v>
      </c>
      <c r="D17" s="5">
        <v>10000</v>
      </c>
      <c r="E17" s="5">
        <v>73</v>
      </c>
      <c r="F17" s="5">
        <f>(E17/((C17/B17)*D17))*1000</f>
        <v>12.882352941176469</v>
      </c>
      <c r="G17" s="5">
        <f>C17/B17</f>
        <v>0.56666666666666665</v>
      </c>
      <c r="H17" s="5">
        <v>150</v>
      </c>
      <c r="I17" s="5">
        <v>93</v>
      </c>
      <c r="J17" s="5">
        <v>10000</v>
      </c>
      <c r="K17" s="5">
        <v>72</v>
      </c>
      <c r="L17" s="5">
        <f t="shared" ref="L17" si="0">(K17/((I17/H17)*J17))*1000</f>
        <v>11.612903225806452</v>
      </c>
      <c r="M17" s="5">
        <f>I17/H17</f>
        <v>0.62</v>
      </c>
      <c r="N17" s="5">
        <v>150</v>
      </c>
      <c r="O17" s="5">
        <v>90</v>
      </c>
      <c r="P17" s="5">
        <v>10000</v>
      </c>
      <c r="Q17" s="5">
        <v>81</v>
      </c>
      <c r="R17" s="5">
        <f t="shared" ref="R17" si="1">(Q17/((O17/N17)*P17))*1000</f>
        <v>13.5</v>
      </c>
      <c r="S17" s="5">
        <f>O17/N17</f>
        <v>0.6</v>
      </c>
    </row>
    <row r="18" spans="1:19" x14ac:dyDescent="0.3">
      <c r="A18" s="5" t="s">
        <v>5</v>
      </c>
      <c r="B18" s="5">
        <v>150</v>
      </c>
      <c r="C18" s="5">
        <v>20</v>
      </c>
      <c r="D18" s="5">
        <v>10000</v>
      </c>
      <c r="E18" s="5">
        <v>18</v>
      </c>
      <c r="F18" s="5">
        <f>(E18/((C18/B18)*D18))*1000</f>
        <v>13.500000000000002</v>
      </c>
      <c r="G18" s="5">
        <f>C18/B18</f>
        <v>0.13333333333333333</v>
      </c>
      <c r="H18" s="5">
        <v>150</v>
      </c>
      <c r="I18" s="5">
        <v>18</v>
      </c>
      <c r="J18" s="5">
        <v>10000</v>
      </c>
      <c r="K18" s="5">
        <v>17</v>
      </c>
      <c r="L18" s="5">
        <f t="shared" ref="L18" si="2">(K18/((I18/H18)*J18))*1000</f>
        <v>14.166666666666666</v>
      </c>
      <c r="M18" s="5">
        <f>I18/H18</f>
        <v>0.12</v>
      </c>
      <c r="N18" s="5">
        <v>150</v>
      </c>
      <c r="O18" s="5">
        <v>33</v>
      </c>
      <c r="P18" s="5">
        <v>10000</v>
      </c>
      <c r="Q18" s="5">
        <v>27</v>
      </c>
      <c r="R18" s="5">
        <f t="shared" ref="R18" si="3">(Q18/((O18/N18)*P18))*1000</f>
        <v>12.272727272727272</v>
      </c>
      <c r="S18" s="5">
        <f>O18/N18</f>
        <v>0.22</v>
      </c>
    </row>
    <row r="19" spans="1:19" x14ac:dyDescent="0.3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19" x14ac:dyDescent="0.3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19" x14ac:dyDescent="0.3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3" spans="1:19" x14ac:dyDescent="0.3">
      <c r="A23" s="12" t="s">
        <v>4</v>
      </c>
      <c r="B23" s="34" t="s">
        <v>24</v>
      </c>
      <c r="C23" s="34"/>
      <c r="D23" s="34"/>
      <c r="E23" s="12" t="s">
        <v>0</v>
      </c>
      <c r="F23" s="12" t="s">
        <v>1</v>
      </c>
      <c r="G23" s="12" t="s">
        <v>3</v>
      </c>
    </row>
    <row r="24" spans="1:19" x14ac:dyDescent="0.3">
      <c r="A24" s="12" t="s">
        <v>16</v>
      </c>
      <c r="B24" s="12">
        <v>6.333333333333333</v>
      </c>
      <c r="C24" s="12">
        <v>8.24</v>
      </c>
      <c r="D24" s="12">
        <v>7.8861788617886184</v>
      </c>
      <c r="E24" s="12">
        <f>AVERAGE(B24:D24)</f>
        <v>7.4865040650406511</v>
      </c>
      <c r="F24" s="12">
        <f>STDEV(B24:D24)</f>
        <v>1.0142235462712745</v>
      </c>
      <c r="G24" s="12">
        <f>_xlfn.CONFIDENCE.T(0.05,F24,3)</f>
        <v>2.5194709594376299</v>
      </c>
    </row>
    <row r="25" spans="1:19" x14ac:dyDescent="0.3">
      <c r="A25" s="12" t="s">
        <v>17</v>
      </c>
      <c r="B25" s="12">
        <v>11.538461538461538</v>
      </c>
      <c r="C25" s="12">
        <v>14.87603305785124</v>
      </c>
      <c r="D25" s="12">
        <v>12.442748091603054</v>
      </c>
      <c r="E25" s="12">
        <f t="shared" ref="E25:E28" si="4">AVERAGE(B25:D25)</f>
        <v>12.952414229305276</v>
      </c>
      <c r="F25" s="12">
        <f t="shared" ref="F25:F28" si="5">STDEV(B25:D25)</f>
        <v>1.7261707883927915</v>
      </c>
      <c r="G25" s="12">
        <f t="shared" ref="G25:G28" si="6">_xlfn.CONFIDENCE.T(0.05,F25,3)</f>
        <v>4.2880459523683339</v>
      </c>
    </row>
    <row r="26" spans="1:19" x14ac:dyDescent="0.3">
      <c r="A26" s="12" t="s">
        <v>19</v>
      </c>
      <c r="B26" s="12">
        <v>264.95726495726495</v>
      </c>
      <c r="C26" s="12">
        <v>196.85039370078741</v>
      </c>
      <c r="D26" s="12">
        <v>431.1926605504587</v>
      </c>
      <c r="E26" s="12">
        <f t="shared" si="4"/>
        <v>297.66677306950368</v>
      </c>
      <c r="F26" s="12">
        <f t="shared" si="5"/>
        <v>120.54670650320193</v>
      </c>
      <c r="G26" s="12">
        <f t="shared" si="6"/>
        <v>299.45461965190282</v>
      </c>
    </row>
    <row r="27" spans="1:19" x14ac:dyDescent="0.3">
      <c r="A27" s="12" t="s">
        <v>18</v>
      </c>
      <c r="B27" s="12">
        <v>572.72727272727263</v>
      </c>
      <c r="C27" s="12">
        <v>725.66371681415944</v>
      </c>
      <c r="D27" s="12">
        <v>775.70093457943926</v>
      </c>
      <c r="E27" s="12">
        <f t="shared" si="4"/>
        <v>691.36397470695704</v>
      </c>
      <c r="F27" s="12">
        <f t="shared" si="5"/>
        <v>105.74465037478262</v>
      </c>
      <c r="G27" s="12">
        <f t="shared" si="6"/>
        <v>262.68427381185131</v>
      </c>
    </row>
    <row r="28" spans="1:19" x14ac:dyDescent="0.3">
      <c r="A28" s="12" t="s">
        <v>27</v>
      </c>
      <c r="B28" s="12">
        <v>12.882352941176469</v>
      </c>
      <c r="C28" s="12">
        <v>11.612903225806452</v>
      </c>
      <c r="D28" s="12">
        <v>13.5</v>
      </c>
      <c r="E28" s="12">
        <f t="shared" si="4"/>
        <v>12.665085388994306</v>
      </c>
      <c r="F28" s="12">
        <f t="shared" si="5"/>
        <v>0.96212652531584697</v>
      </c>
      <c r="G28" s="12">
        <f t="shared" si="6"/>
        <v>2.390054785012405</v>
      </c>
      <c r="H28" s="14" t="s">
        <v>29</v>
      </c>
    </row>
    <row r="29" spans="1:19" x14ac:dyDescent="0.3">
      <c r="A29" s="12" t="s">
        <v>28</v>
      </c>
      <c r="B29" s="12">
        <v>13.500000000000002</v>
      </c>
      <c r="C29" s="12">
        <v>14.166666666666666</v>
      </c>
      <c r="D29" s="12">
        <v>12.272727272727272</v>
      </c>
      <c r="E29" s="12">
        <f t="shared" ref="E29" si="7">AVERAGE(B29:D29)</f>
        <v>13.313131313131313</v>
      </c>
      <c r="F29" s="12">
        <f t="shared" ref="F29" si="8">STDEV(B29:D29)</f>
        <v>0.96069846287891048</v>
      </c>
      <c r="G29" s="12">
        <f t="shared" ref="G29" si="9">_xlfn.CONFIDENCE.T(0.05,F29,3)</f>
        <v>2.3865072812580768</v>
      </c>
      <c r="H29" s="14">
        <f>_xlfn.T.TEST(B28:D28,B29:D29,2,1)</f>
        <v>0.61293485791071334</v>
      </c>
    </row>
    <row r="32" spans="1:19" x14ac:dyDescent="0.3">
      <c r="A32" s="12" t="s">
        <v>30</v>
      </c>
      <c r="B32" s="34" t="s">
        <v>7</v>
      </c>
      <c r="C32" s="34"/>
      <c r="D32" s="34"/>
      <c r="E32" s="12" t="s">
        <v>0</v>
      </c>
      <c r="F32" s="12" t="s">
        <v>1</v>
      </c>
      <c r="G32" s="12" t="s">
        <v>3</v>
      </c>
    </row>
    <row r="33" spans="1:8" x14ac:dyDescent="0.3">
      <c r="A33" s="12" t="s">
        <v>27</v>
      </c>
      <c r="B33" s="13">
        <v>0.56666666666666665</v>
      </c>
      <c r="C33" s="13">
        <v>0.62</v>
      </c>
      <c r="D33" s="13">
        <v>0.6</v>
      </c>
      <c r="E33" s="12">
        <f t="shared" ref="E33:E34" si="10">AVERAGE(B33:D33)</f>
        <v>0.5955555555555555</v>
      </c>
      <c r="F33" s="12">
        <f t="shared" ref="F33:F34" si="11">STDEV(B33:D33)</f>
        <v>2.6943012562182539E-2</v>
      </c>
      <c r="G33" s="12">
        <f t="shared" ref="G33:G34" si="12">_xlfn.CONFIDENCE.T(0.05,F33,3)</f>
        <v>6.693015357388056E-2</v>
      </c>
      <c r="H33" s="14" t="s">
        <v>29</v>
      </c>
    </row>
    <row r="34" spans="1:8" x14ac:dyDescent="0.3">
      <c r="A34" s="12" t="s">
        <v>28</v>
      </c>
      <c r="B34" s="13">
        <v>0.13333333333333333</v>
      </c>
      <c r="C34" s="13">
        <v>0.12</v>
      </c>
      <c r="D34" s="13">
        <v>0.22</v>
      </c>
      <c r="E34" s="12">
        <f t="shared" si="10"/>
        <v>0.15777777777777777</v>
      </c>
      <c r="F34" s="12">
        <f t="shared" si="11"/>
        <v>5.4296852101647274E-2</v>
      </c>
      <c r="G34" s="12">
        <f t="shared" si="12"/>
        <v>0.13488085793503221</v>
      </c>
      <c r="H34" s="14">
        <f>_xlfn.T.TEST(B33:D33,B34:D34,2,1)</f>
        <v>6.2285226255762872E-3</v>
      </c>
    </row>
    <row r="76" spans="1:19" x14ac:dyDescent="0.3">
      <c r="A76" s="37" t="s">
        <v>40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</row>
    <row r="77" spans="1:19" x14ac:dyDescent="0.3">
      <c r="A77" s="36" t="s">
        <v>2</v>
      </c>
      <c r="B77" s="35" t="s">
        <v>10</v>
      </c>
      <c r="C77" s="35"/>
      <c r="D77" s="35"/>
      <c r="E77" s="35"/>
      <c r="F77" s="35"/>
      <c r="G77" s="35" t="s">
        <v>15</v>
      </c>
      <c r="H77" s="35"/>
      <c r="I77" s="35"/>
      <c r="J77" s="35"/>
      <c r="K77" s="35"/>
      <c r="L77" s="35" t="s">
        <v>12</v>
      </c>
      <c r="M77" s="35"/>
      <c r="N77" s="35"/>
      <c r="O77" s="35"/>
      <c r="P77" s="35"/>
    </row>
    <row r="78" spans="1:19" ht="57.6" x14ac:dyDescent="0.3">
      <c r="A78" s="36"/>
      <c r="B78" s="20" t="s">
        <v>38</v>
      </c>
      <c r="C78" s="21" t="s">
        <v>8</v>
      </c>
      <c r="D78" s="20" t="s">
        <v>39</v>
      </c>
      <c r="E78" s="21" t="s">
        <v>20</v>
      </c>
      <c r="F78" s="21" t="s">
        <v>22</v>
      </c>
      <c r="G78" s="20" t="s">
        <v>38</v>
      </c>
      <c r="H78" s="21" t="s">
        <v>8</v>
      </c>
      <c r="I78" s="20" t="s">
        <v>39</v>
      </c>
      <c r="J78" s="21" t="s">
        <v>20</v>
      </c>
      <c r="K78" s="21" t="s">
        <v>22</v>
      </c>
      <c r="L78" s="20" t="s">
        <v>38</v>
      </c>
      <c r="M78" s="21" t="s">
        <v>8</v>
      </c>
      <c r="N78" s="20" t="s">
        <v>39</v>
      </c>
      <c r="O78" s="21" t="s">
        <v>20</v>
      </c>
      <c r="P78" s="21" t="s">
        <v>22</v>
      </c>
    </row>
    <row r="79" spans="1:19" x14ac:dyDescent="0.3">
      <c r="A79" s="3" t="s">
        <v>16</v>
      </c>
      <c r="B79" s="22">
        <v>100</v>
      </c>
      <c r="C79" s="22">
        <v>689</v>
      </c>
      <c r="D79" s="22">
        <v>100</v>
      </c>
      <c r="E79" s="22">
        <v>88.666666666666671</v>
      </c>
      <c r="F79" s="22">
        <f>(E79/(((C79/B79)*100)*D79))*1000</f>
        <v>1.2868892114175132</v>
      </c>
      <c r="G79" s="24">
        <v>100</v>
      </c>
      <c r="H79" s="24">
        <v>409.66666666666669</v>
      </c>
      <c r="I79" s="24">
        <v>100</v>
      </c>
      <c r="J79" s="24">
        <v>88.666666666666671</v>
      </c>
      <c r="K79" s="22">
        <f>(J79/(((H79/G79)*100)*I79))*1000</f>
        <v>2.1643612693246541</v>
      </c>
      <c r="L79" s="24">
        <v>100</v>
      </c>
      <c r="M79" s="24">
        <v>485</v>
      </c>
      <c r="N79" s="24">
        <v>100</v>
      </c>
      <c r="O79" s="24">
        <v>81.666666666666671</v>
      </c>
      <c r="P79" s="22">
        <f>(O79/(((M79/L79)*100)*N79))*1000</f>
        <v>1.6838487972508596</v>
      </c>
    </row>
    <row r="80" spans="1:19" x14ac:dyDescent="0.3">
      <c r="A80" s="19" t="s">
        <v>41</v>
      </c>
      <c r="B80" s="22">
        <v>100</v>
      </c>
      <c r="C80" s="22">
        <v>384.66666666666669</v>
      </c>
      <c r="D80" s="22">
        <v>100</v>
      </c>
      <c r="E80" s="22">
        <v>69.333333333333329</v>
      </c>
      <c r="F80" s="22">
        <f>(E80/(((C80/B80)*100)*D80))*1000</f>
        <v>1.8024263431542458</v>
      </c>
      <c r="G80" s="24">
        <v>100</v>
      </c>
      <c r="H80" s="24">
        <v>321.33333333333331</v>
      </c>
      <c r="I80" s="24">
        <v>100</v>
      </c>
      <c r="J80" s="24">
        <v>69.333333333333329</v>
      </c>
      <c r="K80" s="22">
        <f>(J80/(((H80/G80)*100)*I80))*1000</f>
        <v>2.1576763485477177</v>
      </c>
      <c r="L80" s="24">
        <v>100</v>
      </c>
      <c r="M80" s="24">
        <v>311.33333333333331</v>
      </c>
      <c r="N80" s="24">
        <v>100</v>
      </c>
      <c r="O80" s="24">
        <v>40.333333333333336</v>
      </c>
      <c r="P80" s="22">
        <f>(O80/(((M80/L80)*100)*N80))*1000</f>
        <v>1.2955032119914347</v>
      </c>
    </row>
    <row r="84" spans="1:8" x14ac:dyDescent="0.3">
      <c r="A84" s="23" t="s">
        <v>2</v>
      </c>
      <c r="B84" s="34" t="s">
        <v>24</v>
      </c>
      <c r="C84" s="34"/>
      <c r="D84" s="34"/>
      <c r="E84" s="18" t="s">
        <v>0</v>
      </c>
      <c r="F84" s="18" t="s">
        <v>1</v>
      </c>
      <c r="G84" s="18" t="s">
        <v>3</v>
      </c>
    </row>
    <row r="85" spans="1:8" x14ac:dyDescent="0.3">
      <c r="A85" s="18" t="s">
        <v>16</v>
      </c>
      <c r="B85" s="18">
        <v>1.2868892114175132</v>
      </c>
      <c r="C85" s="18">
        <v>2.1643612693246541</v>
      </c>
      <c r="D85" s="18">
        <v>1.6838487972508596</v>
      </c>
      <c r="E85" s="18">
        <f>AVERAGE(B85:D85)</f>
        <v>1.711699759331009</v>
      </c>
      <c r="F85" s="18">
        <f>STDEV(B85:D85)</f>
        <v>0.43939852089935411</v>
      </c>
      <c r="G85" s="18">
        <f>_xlfn.CONFIDENCE.T(0.05,F85,3)</f>
        <v>1.0915264362534014</v>
      </c>
      <c r="H85" s="14" t="s">
        <v>29</v>
      </c>
    </row>
    <row r="86" spans="1:8" x14ac:dyDescent="0.3">
      <c r="A86" s="18" t="s">
        <v>41</v>
      </c>
      <c r="B86" s="18">
        <v>1.8024263431542458</v>
      </c>
      <c r="C86" s="18">
        <v>2.1576763485477177</v>
      </c>
      <c r="D86" s="18">
        <v>1.2955032119914347</v>
      </c>
      <c r="E86" s="18">
        <f t="shared" ref="E86" si="13">AVERAGE(B86:D86)</f>
        <v>1.7518686345644661</v>
      </c>
      <c r="F86" s="18">
        <f t="shared" ref="F86" si="14">STDEV(B86:D86)</f>
        <v>0.43330438582272818</v>
      </c>
      <c r="G86" s="18">
        <f t="shared" ref="G86" si="15">_xlfn.CONFIDENCE.T(0.05,F86,3)</f>
        <v>1.0763877654890546</v>
      </c>
      <c r="H86" s="14">
        <f>_xlfn.T.TEST(B85:D85,B86:D86,2,1)</f>
        <v>0.89221156797906742</v>
      </c>
    </row>
  </sheetData>
  <mergeCells count="17">
    <mergeCell ref="B32:D32"/>
    <mergeCell ref="B23:D23"/>
    <mergeCell ref="A1:P1"/>
    <mergeCell ref="A2:A3"/>
    <mergeCell ref="B2:F2"/>
    <mergeCell ref="G2:K2"/>
    <mergeCell ref="L2:P2"/>
    <mergeCell ref="A14:S14"/>
    <mergeCell ref="B15:G15"/>
    <mergeCell ref="H15:M15"/>
    <mergeCell ref="N15:S15"/>
    <mergeCell ref="B84:D84"/>
    <mergeCell ref="B77:F77"/>
    <mergeCell ref="A77:A78"/>
    <mergeCell ref="A76:S76"/>
    <mergeCell ref="G77:K77"/>
    <mergeCell ref="L77:P7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workbookViewId="0">
      <selection activeCell="H3" sqref="H3"/>
    </sheetView>
  </sheetViews>
  <sheetFormatPr baseColWidth="10" defaultRowHeight="14.4" x14ac:dyDescent="0.3"/>
  <cols>
    <col min="10" max="10" width="14.77734375" bestFit="1" customWidth="1"/>
    <col min="11" max="11" width="26.33203125" bestFit="1" customWidth="1"/>
    <col min="12" max="12" width="10.109375" customWidth="1"/>
  </cols>
  <sheetData>
    <row r="1" spans="1:17" x14ac:dyDescent="0.3">
      <c r="A1" s="15" t="s">
        <v>31</v>
      </c>
      <c r="B1" s="15" t="s">
        <v>32</v>
      </c>
      <c r="C1" s="15" t="s">
        <v>33</v>
      </c>
      <c r="D1" s="15" t="s">
        <v>34</v>
      </c>
      <c r="E1" s="15" t="s">
        <v>0</v>
      </c>
      <c r="F1" s="15" t="s">
        <v>1</v>
      </c>
      <c r="J1" t="s">
        <v>43</v>
      </c>
      <c r="K1" s="16" t="s">
        <v>42</v>
      </c>
      <c r="L1" s="16" t="s">
        <v>32</v>
      </c>
      <c r="M1" s="16" t="s">
        <v>33</v>
      </c>
      <c r="N1" s="16" t="s">
        <v>34</v>
      </c>
      <c r="O1" s="16" t="s">
        <v>0</v>
      </c>
      <c r="P1" s="16" t="s">
        <v>1</v>
      </c>
      <c r="Q1" s="17"/>
    </row>
    <row r="2" spans="1:17" x14ac:dyDescent="0.3">
      <c r="A2" s="15">
        <v>1</v>
      </c>
      <c r="B2" s="16">
        <f>62/150</f>
        <v>0.41333333333333333</v>
      </c>
      <c r="C2" s="16">
        <f>99/150</f>
        <v>0.66</v>
      </c>
      <c r="D2" s="16">
        <f>48/150</f>
        <v>0.32</v>
      </c>
      <c r="E2" s="16">
        <f t="shared" ref="E2:E7" si="0">SUM(B2:D2)/3</f>
        <v>0.46444444444444444</v>
      </c>
      <c r="F2" s="16">
        <f>STDEV(B2,C2,D2)</f>
        <v>0.17566803710197057</v>
      </c>
      <c r="G2" t="s">
        <v>36</v>
      </c>
      <c r="H2" s="17">
        <v>7.3361260949973098E-2</v>
      </c>
      <c r="I2" s="17"/>
      <c r="K2" s="16">
        <v>0.1</v>
      </c>
      <c r="L2" s="16">
        <f>62/150</f>
        <v>0.41333333333333333</v>
      </c>
      <c r="M2" s="16">
        <f>99/150</f>
        <v>0.66</v>
      </c>
      <c r="N2" s="16">
        <f>48/150</f>
        <v>0.32</v>
      </c>
      <c r="O2" s="16">
        <f t="shared" ref="O2:O7" si="1">SUM(L2:N2)/3</f>
        <v>0.46444444444444444</v>
      </c>
      <c r="P2" s="16">
        <f t="shared" ref="P2:P7" si="2">STDEV(L2,M2,N2)</f>
        <v>0.17566803710197057</v>
      </c>
      <c r="Q2" s="17"/>
    </row>
    <row r="3" spans="1:17" x14ac:dyDescent="0.3">
      <c r="A3" s="15">
        <v>2</v>
      </c>
      <c r="B3" s="16">
        <f>63/150</f>
        <v>0.42</v>
      </c>
      <c r="C3" s="16">
        <f>105/150</f>
        <v>0.7</v>
      </c>
      <c r="D3" s="16">
        <f>70/150</f>
        <v>0.46666666666666667</v>
      </c>
      <c r="E3" s="16">
        <f t="shared" si="0"/>
        <v>0.52888888888888885</v>
      </c>
      <c r="F3" s="16">
        <f t="shared" ref="F3:F7" si="3">STDEV(B3,C3,D3)</f>
        <v>0.15001234517100184</v>
      </c>
      <c r="G3" t="s">
        <v>37</v>
      </c>
      <c r="H3" s="17">
        <v>2.8400580794234322E-2</v>
      </c>
      <c r="I3" s="17"/>
      <c r="K3" s="16">
        <v>0.3</v>
      </c>
      <c r="L3" s="16">
        <f>63/150</f>
        <v>0.42</v>
      </c>
      <c r="M3" s="16">
        <f>105/150</f>
        <v>0.7</v>
      </c>
      <c r="N3" s="16">
        <f>70/150</f>
        <v>0.46666666666666667</v>
      </c>
      <c r="O3" s="16">
        <f t="shared" si="1"/>
        <v>0.52888888888888885</v>
      </c>
      <c r="P3" s="16">
        <f t="shared" si="2"/>
        <v>0.15001234517100184</v>
      </c>
      <c r="Q3" s="17"/>
    </row>
    <row r="4" spans="1:17" x14ac:dyDescent="0.3">
      <c r="A4" s="15">
        <v>3</v>
      </c>
      <c r="B4" s="16">
        <f>46/150</f>
        <v>0.30666666666666664</v>
      </c>
      <c r="C4" s="16">
        <f>84/150</f>
        <v>0.56000000000000005</v>
      </c>
      <c r="D4" s="16">
        <f>66/150</f>
        <v>0.44</v>
      </c>
      <c r="E4" s="16">
        <f t="shared" si="0"/>
        <v>0.43555555555555553</v>
      </c>
      <c r="F4" s="16">
        <f t="shared" si="3"/>
        <v>0.12672513270562896</v>
      </c>
      <c r="K4" s="16">
        <v>0.5</v>
      </c>
      <c r="L4" s="16">
        <f>46/150</f>
        <v>0.30666666666666664</v>
      </c>
      <c r="M4" s="16">
        <f>84/150</f>
        <v>0.56000000000000005</v>
      </c>
      <c r="N4" s="16">
        <f>66/150</f>
        <v>0.44</v>
      </c>
      <c r="O4" s="16">
        <f t="shared" si="1"/>
        <v>0.43555555555555553</v>
      </c>
      <c r="P4" s="16">
        <f t="shared" si="2"/>
        <v>0.12672513270562896</v>
      </c>
      <c r="Q4" s="17"/>
    </row>
    <row r="5" spans="1:17" x14ac:dyDescent="0.3">
      <c r="A5" s="15">
        <v>4</v>
      </c>
      <c r="B5" s="16">
        <f>41/150</f>
        <v>0.27333333333333332</v>
      </c>
      <c r="C5" s="16">
        <f>77/150</f>
        <v>0.51333333333333331</v>
      </c>
      <c r="D5" s="16">
        <f>25/150</f>
        <v>0.16666666666666666</v>
      </c>
      <c r="E5" s="16">
        <f t="shared" si="0"/>
        <v>0.31777777777777777</v>
      </c>
      <c r="F5" s="16">
        <f t="shared" si="3"/>
        <v>0.17755541649278384</v>
      </c>
      <c r="K5" s="16">
        <v>0.7</v>
      </c>
      <c r="L5" s="16">
        <f>41/150</f>
        <v>0.27333333333333332</v>
      </c>
      <c r="M5" s="16">
        <f>77/150</f>
        <v>0.51333333333333331</v>
      </c>
      <c r="N5" s="16">
        <f>25/150</f>
        <v>0.16666666666666666</v>
      </c>
      <c r="O5" s="16">
        <f t="shared" si="1"/>
        <v>0.31777777777777777</v>
      </c>
      <c r="P5" s="16">
        <f t="shared" si="2"/>
        <v>0.17755541649278384</v>
      </c>
      <c r="Q5" s="17"/>
    </row>
    <row r="6" spans="1:17" x14ac:dyDescent="0.3">
      <c r="A6" s="15">
        <v>5</v>
      </c>
      <c r="B6" s="16">
        <f>19/150</f>
        <v>0.12666666666666668</v>
      </c>
      <c r="C6" s="16">
        <f>44/150</f>
        <v>0.29333333333333333</v>
      </c>
      <c r="D6" s="16">
        <f>22/150</f>
        <v>0.14666666666666667</v>
      </c>
      <c r="E6" s="16">
        <f t="shared" si="0"/>
        <v>0.18888888888888888</v>
      </c>
      <c r="F6" s="16">
        <f t="shared" si="3"/>
        <v>9.1002645464192386E-2</v>
      </c>
      <c r="K6" s="16">
        <v>0.9</v>
      </c>
      <c r="L6" s="16">
        <f>19/150</f>
        <v>0.12666666666666668</v>
      </c>
      <c r="M6" s="16">
        <f>44/150</f>
        <v>0.29333333333333333</v>
      </c>
      <c r="N6" s="16">
        <f>22/150</f>
        <v>0.14666666666666667</v>
      </c>
      <c r="O6" s="16">
        <f t="shared" si="1"/>
        <v>0.18888888888888888</v>
      </c>
      <c r="P6" s="16">
        <f t="shared" si="2"/>
        <v>9.1002645464192386E-2</v>
      </c>
      <c r="Q6" s="17"/>
    </row>
    <row r="7" spans="1:17" x14ac:dyDescent="0.3">
      <c r="A7" s="15" t="s">
        <v>35</v>
      </c>
      <c r="B7" s="16">
        <f>53/150</f>
        <v>0.35333333333333333</v>
      </c>
      <c r="C7" s="16">
        <f>48/150</f>
        <v>0.32</v>
      </c>
      <c r="D7" s="16">
        <f>37/150</f>
        <v>0.24666666666666667</v>
      </c>
      <c r="E7" s="16">
        <f t="shared" si="0"/>
        <v>0.3066666666666667</v>
      </c>
      <c r="F7" s="16">
        <f t="shared" si="3"/>
        <v>5.4569018479149627E-2</v>
      </c>
      <c r="K7" s="16" t="s">
        <v>35</v>
      </c>
      <c r="L7" s="16">
        <f>53/150</f>
        <v>0.35333333333333333</v>
      </c>
      <c r="M7" s="16">
        <f>48/150</f>
        <v>0.32</v>
      </c>
      <c r="N7" s="16">
        <f>37/150</f>
        <v>0.24666666666666667</v>
      </c>
      <c r="O7" s="16">
        <f t="shared" si="1"/>
        <v>0.3066666666666667</v>
      </c>
      <c r="P7" s="16">
        <f t="shared" si="2"/>
        <v>5.4569018479149627E-2</v>
      </c>
      <c r="Q7" s="17"/>
    </row>
    <row r="8" spans="1:17" x14ac:dyDescent="0.3">
      <c r="K8" s="17"/>
      <c r="L8" s="17"/>
      <c r="M8" s="17"/>
      <c r="N8" s="17"/>
      <c r="O8" s="17"/>
      <c r="P8" s="17"/>
      <c r="Q8" s="17"/>
    </row>
    <row r="9" spans="1:17" x14ac:dyDescent="0.3">
      <c r="K9" s="17"/>
      <c r="L9" s="17"/>
      <c r="M9" s="17"/>
      <c r="N9" s="17"/>
      <c r="O9" s="17"/>
      <c r="P9" s="17" t="s">
        <v>111</v>
      </c>
      <c r="Q9" s="17">
        <f>PEARSON(K2:K6,O2:O6)</f>
        <v>-0.89501544451106396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L37" sqref="L37"/>
    </sheetView>
  </sheetViews>
  <sheetFormatPr baseColWidth="10" defaultRowHeight="14.4" x14ac:dyDescent="0.3"/>
  <cols>
    <col min="1" max="1" width="32.77734375" bestFit="1" customWidth="1"/>
    <col min="2" max="2" width="18.33203125" customWidth="1"/>
    <col min="3" max="3" width="12" bestFit="1" customWidth="1"/>
  </cols>
  <sheetData>
    <row r="1" spans="1:14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x14ac:dyDescent="0.3">
      <c r="A2" s="29" t="s">
        <v>102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3">
      <c r="A3" s="25" t="s">
        <v>2</v>
      </c>
      <c r="B3" s="25" t="s">
        <v>44</v>
      </c>
      <c r="C3" s="25" t="s">
        <v>45</v>
      </c>
      <c r="D3" s="25" t="s">
        <v>46</v>
      </c>
      <c r="E3" s="25" t="s">
        <v>47</v>
      </c>
      <c r="F3" s="25" t="s">
        <v>48</v>
      </c>
      <c r="G3" s="25" t="s">
        <v>49</v>
      </c>
      <c r="H3" s="25" t="s">
        <v>50</v>
      </c>
      <c r="I3" s="25" t="s">
        <v>51</v>
      </c>
      <c r="J3" s="25" t="s">
        <v>52</v>
      </c>
      <c r="K3" s="25" t="s">
        <v>53</v>
      </c>
      <c r="L3" s="25" t="s">
        <v>54</v>
      </c>
    </row>
    <row r="4" spans="1:14" x14ac:dyDescent="0.3">
      <c r="A4" s="25" t="s">
        <v>16</v>
      </c>
      <c r="B4" s="25" t="s">
        <v>80</v>
      </c>
      <c r="C4" s="25">
        <v>899285957</v>
      </c>
      <c r="D4" s="25" t="s">
        <v>81</v>
      </c>
      <c r="E4" s="25" t="s">
        <v>57</v>
      </c>
      <c r="F4" s="25">
        <v>1</v>
      </c>
      <c r="G4" s="25">
        <v>195693</v>
      </c>
      <c r="H4" s="25" t="s">
        <v>82</v>
      </c>
      <c r="I4" s="25" t="s">
        <v>83</v>
      </c>
      <c r="J4" s="25" t="s">
        <v>84</v>
      </c>
      <c r="K4" s="25" t="s">
        <v>85</v>
      </c>
      <c r="L4" s="25">
        <v>304.07865500000003</v>
      </c>
    </row>
    <row r="5" spans="1:14" x14ac:dyDescent="0.3">
      <c r="A5" s="25" t="s">
        <v>108</v>
      </c>
      <c r="B5" s="25" t="s">
        <v>86</v>
      </c>
      <c r="C5" s="25">
        <v>948080392.626688</v>
      </c>
      <c r="D5" s="25" t="s">
        <v>87</v>
      </c>
      <c r="E5" s="25" t="s">
        <v>57</v>
      </c>
      <c r="F5" s="25">
        <v>1.0542590000000001</v>
      </c>
      <c r="G5" s="25">
        <v>195693</v>
      </c>
      <c r="H5" s="25">
        <v>993</v>
      </c>
      <c r="I5" s="25" t="s">
        <v>88</v>
      </c>
      <c r="J5" s="25" t="s">
        <v>89</v>
      </c>
      <c r="K5" s="25" t="s">
        <v>90</v>
      </c>
      <c r="L5" s="25">
        <v>304.07865500000003</v>
      </c>
    </row>
    <row r="6" spans="1:14" s="17" customFormat="1" x14ac:dyDescent="0.3">
      <c r="A6" s="29" t="s">
        <v>103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</row>
    <row r="7" spans="1:14" s="17" customFormat="1" x14ac:dyDescent="0.3">
      <c r="A7" s="25" t="s">
        <v>2</v>
      </c>
      <c r="B7" s="25" t="s">
        <v>44</v>
      </c>
      <c r="C7" s="25" t="s">
        <v>45</v>
      </c>
      <c r="D7" s="25" t="s">
        <v>46</v>
      </c>
      <c r="E7" s="25" t="s">
        <v>47</v>
      </c>
      <c r="F7" s="25" t="s">
        <v>48</v>
      </c>
      <c r="G7" s="25" t="s">
        <v>49</v>
      </c>
      <c r="H7" s="25" t="s">
        <v>50</v>
      </c>
      <c r="I7" s="25" t="s">
        <v>51</v>
      </c>
      <c r="J7" s="25" t="s">
        <v>52</v>
      </c>
      <c r="K7" s="25" t="s">
        <v>53</v>
      </c>
      <c r="L7" s="25" t="s">
        <v>54</v>
      </c>
    </row>
    <row r="8" spans="1:14" x14ac:dyDescent="0.3">
      <c r="A8" s="25" t="s">
        <v>16</v>
      </c>
      <c r="B8" s="25" t="s">
        <v>91</v>
      </c>
      <c r="C8" s="25">
        <v>1231857660.5146201</v>
      </c>
      <c r="D8" s="25" t="s">
        <v>92</v>
      </c>
      <c r="E8" s="25" t="s">
        <v>57</v>
      </c>
      <c r="F8" s="25">
        <v>1.369818</v>
      </c>
      <c r="G8" s="25">
        <v>197209</v>
      </c>
      <c r="H8" s="25" t="s">
        <v>93</v>
      </c>
      <c r="I8" s="25" t="s">
        <v>94</v>
      </c>
      <c r="J8" s="25" t="s">
        <v>95</v>
      </c>
      <c r="K8" s="25" t="s">
        <v>96</v>
      </c>
      <c r="L8" s="25">
        <v>306.43430000000001</v>
      </c>
    </row>
    <row r="9" spans="1:14" x14ac:dyDescent="0.3">
      <c r="A9" s="25" t="s">
        <v>108</v>
      </c>
      <c r="B9" s="25" t="s">
        <v>97</v>
      </c>
      <c r="C9" s="25">
        <v>1039981838.57894</v>
      </c>
      <c r="D9" s="25" t="s">
        <v>98</v>
      </c>
      <c r="E9" s="25" t="s">
        <v>57</v>
      </c>
      <c r="F9" s="25">
        <v>1.156453</v>
      </c>
      <c r="G9" s="25">
        <v>197225</v>
      </c>
      <c r="H9" s="25">
        <v>924</v>
      </c>
      <c r="I9" s="25" t="s">
        <v>99</v>
      </c>
      <c r="J9" s="25" t="s">
        <v>100</v>
      </c>
      <c r="K9" s="25" t="s">
        <v>101</v>
      </c>
      <c r="L9" s="25">
        <v>306.45916099999999</v>
      </c>
    </row>
    <row r="10" spans="1:14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4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4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4" x14ac:dyDescent="0.3">
      <c r="A13" s="29" t="s">
        <v>104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4" x14ac:dyDescent="0.3">
      <c r="A14" s="25" t="s">
        <v>2</v>
      </c>
      <c r="B14" s="25" t="s">
        <v>44</v>
      </c>
      <c r="C14" s="25" t="s">
        <v>45</v>
      </c>
      <c r="D14" s="25" t="s">
        <v>46</v>
      </c>
      <c r="E14" s="25" t="s">
        <v>47</v>
      </c>
      <c r="F14" s="25" t="s">
        <v>48</v>
      </c>
      <c r="G14" s="25" t="s">
        <v>49</v>
      </c>
      <c r="H14" s="25" t="s">
        <v>50</v>
      </c>
      <c r="I14" s="25" t="s">
        <v>51</v>
      </c>
      <c r="J14" s="25" t="s">
        <v>52</v>
      </c>
      <c r="K14" s="25" t="s">
        <v>53</v>
      </c>
      <c r="L14" s="25" t="s">
        <v>54</v>
      </c>
    </row>
    <row r="15" spans="1:14" x14ac:dyDescent="0.3">
      <c r="A15" s="25" t="s">
        <v>16</v>
      </c>
      <c r="B15" s="25" t="s">
        <v>55</v>
      </c>
      <c r="C15" s="25">
        <v>510204.758065</v>
      </c>
      <c r="D15" s="25" t="s">
        <v>56</v>
      </c>
      <c r="E15" s="25" t="s">
        <v>57</v>
      </c>
      <c r="F15" s="25">
        <v>1</v>
      </c>
      <c r="G15" s="25">
        <v>611</v>
      </c>
      <c r="H15" s="25" t="s">
        <v>58</v>
      </c>
      <c r="I15" s="25" t="s">
        <v>59</v>
      </c>
      <c r="J15" s="25" t="s">
        <v>60</v>
      </c>
      <c r="K15" s="25" t="s">
        <v>61</v>
      </c>
      <c r="L15" s="25">
        <v>15.212609</v>
      </c>
    </row>
    <row r="16" spans="1:14" x14ac:dyDescent="0.3">
      <c r="A16" s="25" t="s">
        <v>108</v>
      </c>
      <c r="B16" s="25" t="s">
        <v>62</v>
      </c>
      <c r="C16" s="25">
        <v>924163.19354799995</v>
      </c>
      <c r="D16" s="25" t="s">
        <v>63</v>
      </c>
      <c r="E16" s="25" t="s">
        <v>57</v>
      </c>
      <c r="F16" s="25">
        <v>1.8113570000000001</v>
      </c>
      <c r="G16" s="25">
        <v>611</v>
      </c>
      <c r="H16" s="25" t="s">
        <v>64</v>
      </c>
      <c r="I16" s="25" t="s">
        <v>65</v>
      </c>
      <c r="J16" s="25" t="s">
        <v>66</v>
      </c>
      <c r="K16" s="25" t="s">
        <v>67</v>
      </c>
      <c r="L16" s="25">
        <v>15.212609</v>
      </c>
    </row>
    <row r="17" spans="1:14" s="17" customFormat="1" x14ac:dyDescent="0.3">
      <c r="A17" s="29" t="s">
        <v>105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1:14" s="17" customFormat="1" x14ac:dyDescent="0.3">
      <c r="A18" s="25" t="s">
        <v>2</v>
      </c>
      <c r="B18" s="25" t="s">
        <v>44</v>
      </c>
      <c r="C18" s="25" t="s">
        <v>45</v>
      </c>
      <c r="D18" s="25" t="s">
        <v>46</v>
      </c>
      <c r="E18" s="25" t="s">
        <v>47</v>
      </c>
      <c r="F18" s="25" t="s">
        <v>48</v>
      </c>
      <c r="G18" s="25" t="s">
        <v>49</v>
      </c>
      <c r="H18" s="25" t="s">
        <v>50</v>
      </c>
      <c r="I18" s="25" t="s">
        <v>51</v>
      </c>
      <c r="J18" s="25" t="s">
        <v>52</v>
      </c>
      <c r="K18" s="25" t="s">
        <v>53</v>
      </c>
      <c r="L18" s="25" t="s">
        <v>54</v>
      </c>
    </row>
    <row r="19" spans="1:14" x14ac:dyDescent="0.3">
      <c r="A19" s="25" t="s">
        <v>16</v>
      </c>
      <c r="B19" s="25" t="s">
        <v>68</v>
      </c>
      <c r="C19" s="25">
        <v>629338</v>
      </c>
      <c r="D19" s="25" t="s">
        <v>69</v>
      </c>
      <c r="E19" s="25" t="s">
        <v>57</v>
      </c>
      <c r="F19" s="25">
        <v>1.233501</v>
      </c>
      <c r="G19" s="25">
        <v>705</v>
      </c>
      <c r="H19" s="25" t="s">
        <v>70</v>
      </c>
      <c r="I19" s="25" t="s">
        <v>71</v>
      </c>
      <c r="J19" s="25" t="s">
        <v>72</v>
      </c>
      <c r="K19" s="25" t="s">
        <v>73</v>
      </c>
      <c r="L19" s="25">
        <v>17.553011000000001</v>
      </c>
    </row>
    <row r="20" spans="1:14" x14ac:dyDescent="0.3">
      <c r="A20" s="25" t="s">
        <v>108</v>
      </c>
      <c r="B20" s="25" t="s">
        <v>74</v>
      </c>
      <c r="C20" s="25">
        <v>1130875.1796879999</v>
      </c>
      <c r="D20" s="25" t="s">
        <v>75</v>
      </c>
      <c r="E20" s="25" t="s">
        <v>57</v>
      </c>
      <c r="F20" s="25">
        <v>2.2165119999999998</v>
      </c>
      <c r="G20" s="25">
        <v>705</v>
      </c>
      <c r="H20" s="25" t="s">
        <v>76</v>
      </c>
      <c r="I20" s="25" t="s">
        <v>77</v>
      </c>
      <c r="J20" s="25" t="s">
        <v>78</v>
      </c>
      <c r="K20" s="25" t="s">
        <v>79</v>
      </c>
      <c r="L20" s="25">
        <v>17.553011000000001</v>
      </c>
    </row>
    <row r="21" spans="1:14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3">
      <c r="A23" s="26" t="s">
        <v>106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s="17" customFormat="1" x14ac:dyDescent="0.3">
      <c r="A24" s="29" t="s">
        <v>107</v>
      </c>
    </row>
    <row r="25" spans="1:14" x14ac:dyDescent="0.3">
      <c r="A25" s="25" t="s">
        <v>2</v>
      </c>
      <c r="B25" s="25" t="s">
        <v>45</v>
      </c>
      <c r="C25" s="2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</row>
    <row r="26" spans="1:14" x14ac:dyDescent="0.3">
      <c r="A26" s="25" t="s">
        <v>16</v>
      </c>
      <c r="B26" s="25">
        <f>C15/C4</f>
        <v>5.6734429587562208E-4</v>
      </c>
      <c r="C26" s="2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x14ac:dyDescent="0.3">
      <c r="A27" s="25" t="s">
        <v>108</v>
      </c>
      <c r="B27" s="25">
        <f>C16/C5</f>
        <v>9.7477302635441633E-4</v>
      </c>
      <c r="C27" s="2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4" s="17" customFormat="1" x14ac:dyDescent="0.3">
      <c r="A28" s="29" t="s">
        <v>109</v>
      </c>
      <c r="B28" s="25"/>
      <c r="C28" s="27"/>
    </row>
    <row r="29" spans="1:14" s="17" customFormat="1" x14ac:dyDescent="0.3">
      <c r="A29" s="25" t="s">
        <v>2</v>
      </c>
      <c r="B29" s="25" t="s">
        <v>45</v>
      </c>
      <c r="C29" s="27"/>
    </row>
    <row r="30" spans="1:14" x14ac:dyDescent="0.3">
      <c r="A30" s="25" t="s">
        <v>16</v>
      </c>
      <c r="B30" s="25">
        <f>C19/C8</f>
        <v>5.1088532398872136E-4</v>
      </c>
      <c r="C30" s="2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4" x14ac:dyDescent="0.3">
      <c r="A31" s="25" t="s">
        <v>108</v>
      </c>
      <c r="B31" s="25">
        <f>C20/C9</f>
        <v>1.0873989696139877E-3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4" s="17" customFormat="1" x14ac:dyDescent="0.3">
      <c r="A32" s="29" t="s">
        <v>110</v>
      </c>
      <c r="B32" s="28"/>
    </row>
    <row r="33" spans="1:14" x14ac:dyDescent="0.3">
      <c r="A33" s="25" t="s">
        <v>2</v>
      </c>
      <c r="B33" s="25" t="s">
        <v>0</v>
      </c>
      <c r="C33" s="25" t="s">
        <v>1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x14ac:dyDescent="0.3">
      <c r="A34" s="25" t="s">
        <v>16</v>
      </c>
      <c r="B34" s="25">
        <f>(B26+B30)/2</f>
        <v>5.3911480993217172E-4</v>
      </c>
      <c r="C34" s="25">
        <f>STDEV(B26,B30)</f>
        <v>3.9922521880048144E-5</v>
      </c>
    </row>
    <row r="35" spans="1:14" x14ac:dyDescent="0.3">
      <c r="A35" s="25" t="s">
        <v>108</v>
      </c>
      <c r="B35" s="25">
        <f>(B27+B31)/2</f>
        <v>1.0310859979842019E-3</v>
      </c>
      <c r="C35" s="25">
        <f>STDEV(B27,B31)</f>
        <v>7.9638568216374234E-5</v>
      </c>
    </row>
    <row r="38" spans="1:14" x14ac:dyDescent="0.3">
      <c r="I38" t="s">
        <v>126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E26" sqref="E26"/>
    </sheetView>
  </sheetViews>
  <sheetFormatPr baseColWidth="10" defaultRowHeight="14.4" x14ac:dyDescent="0.3"/>
  <cols>
    <col min="1" max="1" width="13.44140625" bestFit="1" customWidth="1"/>
    <col min="2" max="2" width="25.6640625" bestFit="1" customWidth="1"/>
    <col min="5" max="5" width="13.44140625" bestFit="1" customWidth="1"/>
    <col min="6" max="6" width="12.33203125" customWidth="1"/>
    <col min="8" max="8" width="12.6640625" customWidth="1"/>
    <col min="9" max="10" width="12.33203125" customWidth="1"/>
  </cols>
  <sheetData>
    <row r="1" spans="1:3" x14ac:dyDescent="0.3">
      <c r="A1" s="15"/>
      <c r="B1" s="15" t="s">
        <v>123</v>
      </c>
      <c r="C1" s="15" t="s">
        <v>112</v>
      </c>
    </row>
    <row r="2" spans="1:3" x14ac:dyDescent="0.3">
      <c r="A2" s="15" t="s">
        <v>113</v>
      </c>
      <c r="B2" s="15">
        <v>15</v>
      </c>
      <c r="C2" s="15">
        <v>0.13400000000000001</v>
      </c>
    </row>
    <row r="3" spans="1:3" x14ac:dyDescent="0.3">
      <c r="A3" s="15" t="s">
        <v>115</v>
      </c>
      <c r="B3" s="15">
        <v>6</v>
      </c>
      <c r="C3" s="15">
        <v>7.4999999999999997E-2</v>
      </c>
    </row>
    <row r="4" spans="1:3" x14ac:dyDescent="0.3">
      <c r="A4" s="15" t="s">
        <v>114</v>
      </c>
      <c r="B4" s="15">
        <v>37</v>
      </c>
      <c r="C4" s="15">
        <v>3.3000000000000002E-2</v>
      </c>
    </row>
    <row r="5" spans="1:3" x14ac:dyDescent="0.3">
      <c r="A5" s="15" t="s">
        <v>116</v>
      </c>
      <c r="B5" s="15">
        <v>17</v>
      </c>
      <c r="C5" s="15">
        <v>0.14399999999999999</v>
      </c>
    </row>
    <row r="6" spans="1:3" x14ac:dyDescent="0.3">
      <c r="A6" s="15" t="s">
        <v>118</v>
      </c>
      <c r="B6" s="15">
        <v>11</v>
      </c>
      <c r="C6" s="15">
        <v>0.14699999999999999</v>
      </c>
    </row>
    <row r="7" spans="1:3" x14ac:dyDescent="0.3">
      <c r="A7" s="15" t="s">
        <v>117</v>
      </c>
      <c r="B7" s="15">
        <v>25</v>
      </c>
      <c r="C7" s="15">
        <v>0.17799999999999999</v>
      </c>
    </row>
    <row r="18" spans="5:10" x14ac:dyDescent="0.3">
      <c r="E18" s="31" t="s">
        <v>113</v>
      </c>
      <c r="F18" s="31" t="s">
        <v>115</v>
      </c>
      <c r="G18" s="31" t="s">
        <v>114</v>
      </c>
      <c r="H18" s="31" t="s">
        <v>116</v>
      </c>
      <c r="I18" s="31" t="s">
        <v>118</v>
      </c>
      <c r="J18" s="31" t="s">
        <v>117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J34" sqref="J34"/>
    </sheetView>
  </sheetViews>
  <sheetFormatPr baseColWidth="10" defaultRowHeight="14.4" x14ac:dyDescent="0.3"/>
  <cols>
    <col min="1" max="1" width="17.5546875" style="17" customWidth="1"/>
  </cols>
  <sheetData>
    <row r="1" spans="1:10" x14ac:dyDescent="0.3">
      <c r="B1" s="37" t="s">
        <v>10</v>
      </c>
      <c r="C1" s="37"/>
      <c r="D1" s="37"/>
      <c r="E1" s="37" t="s">
        <v>15</v>
      </c>
      <c r="F1" s="37"/>
      <c r="G1" s="37"/>
      <c r="H1" s="37" t="s">
        <v>12</v>
      </c>
      <c r="I1" s="37"/>
      <c r="J1" s="37"/>
    </row>
    <row r="2" spans="1:10" ht="43.2" x14ac:dyDescent="0.3">
      <c r="A2" s="3"/>
      <c r="B2" s="3" t="s">
        <v>14</v>
      </c>
      <c r="C2" s="3" t="s">
        <v>13</v>
      </c>
      <c r="D2" s="3" t="s">
        <v>7</v>
      </c>
      <c r="E2" s="3" t="s">
        <v>14</v>
      </c>
      <c r="F2" s="3" t="s">
        <v>13</v>
      </c>
      <c r="G2" s="3" t="s">
        <v>7</v>
      </c>
      <c r="H2" s="3" t="s">
        <v>14</v>
      </c>
      <c r="I2" s="3" t="s">
        <v>13</v>
      </c>
      <c r="J2" s="3" t="s">
        <v>7</v>
      </c>
    </row>
    <row r="3" spans="1:10" s="17" customFormat="1" x14ac:dyDescent="0.3">
      <c r="A3" s="33" t="s">
        <v>121</v>
      </c>
      <c r="B3" s="5">
        <v>500</v>
      </c>
      <c r="C3" s="5">
        <v>235</v>
      </c>
      <c r="D3" s="5">
        <f>C3/B3</f>
        <v>0.47</v>
      </c>
      <c r="E3" s="5">
        <v>500</v>
      </c>
      <c r="F3" s="5">
        <v>191</v>
      </c>
      <c r="G3" s="5">
        <f>F3/E3</f>
        <v>0.38200000000000001</v>
      </c>
      <c r="H3" s="5">
        <v>500</v>
      </c>
      <c r="I3" s="5">
        <v>192</v>
      </c>
      <c r="J3" s="5">
        <f>I3/H3</f>
        <v>0.38400000000000001</v>
      </c>
    </row>
    <row r="4" spans="1:10" s="17" customFormat="1" x14ac:dyDescent="0.3">
      <c r="A4" s="33" t="s">
        <v>122</v>
      </c>
      <c r="B4" s="5">
        <v>500</v>
      </c>
      <c r="C4" s="5">
        <v>182</v>
      </c>
      <c r="D4" s="5">
        <f>C4/B4</f>
        <v>0.36399999999999999</v>
      </c>
      <c r="E4" s="5">
        <v>500</v>
      </c>
      <c r="F4" s="5">
        <v>126</v>
      </c>
      <c r="G4" s="5">
        <f>F4/E4</f>
        <v>0.252</v>
      </c>
      <c r="H4" s="5">
        <v>500</v>
      </c>
      <c r="I4" s="5">
        <v>118</v>
      </c>
      <c r="J4" s="5">
        <f>I4/H4</f>
        <v>0.23599999999999999</v>
      </c>
    </row>
    <row r="5" spans="1:10" x14ac:dyDescent="0.3">
      <c r="A5" s="33" t="s">
        <v>119</v>
      </c>
      <c r="B5" s="5">
        <v>500</v>
      </c>
      <c r="C5" s="5">
        <v>211</v>
      </c>
      <c r="D5" s="5">
        <f>C5/B5</f>
        <v>0.42199999999999999</v>
      </c>
      <c r="E5" s="5">
        <v>500</v>
      </c>
      <c r="F5" s="5">
        <v>168</v>
      </c>
      <c r="G5" s="5">
        <f>F5/E5</f>
        <v>0.33600000000000002</v>
      </c>
      <c r="H5" s="5">
        <v>500</v>
      </c>
      <c r="I5" s="5">
        <v>84</v>
      </c>
      <c r="J5" s="5">
        <f>I5/H5</f>
        <v>0.16800000000000001</v>
      </c>
    </row>
    <row r="6" spans="1:10" x14ac:dyDescent="0.3">
      <c r="A6" s="33" t="s">
        <v>120</v>
      </c>
      <c r="B6" s="5">
        <v>500</v>
      </c>
      <c r="C6" s="5">
        <v>179</v>
      </c>
      <c r="D6" s="5">
        <f>C6/B6</f>
        <v>0.35799999999999998</v>
      </c>
      <c r="E6" s="5">
        <v>500</v>
      </c>
      <c r="F6" s="5">
        <v>169</v>
      </c>
      <c r="G6" s="5">
        <f>F6/E6</f>
        <v>0.33800000000000002</v>
      </c>
      <c r="H6" s="5">
        <v>500</v>
      </c>
      <c r="I6" s="5">
        <v>115</v>
      </c>
      <c r="J6" s="5">
        <f>I6/H6</f>
        <v>0.23</v>
      </c>
    </row>
    <row r="9" spans="1:10" x14ac:dyDescent="0.3">
      <c r="B9" s="23" t="s">
        <v>10</v>
      </c>
      <c r="C9" s="23" t="s">
        <v>15</v>
      </c>
      <c r="D9" s="23" t="s">
        <v>12</v>
      </c>
      <c r="E9" s="32" t="s">
        <v>0</v>
      </c>
      <c r="F9" s="30" t="s">
        <v>1</v>
      </c>
    </row>
    <row r="10" spans="1:10" x14ac:dyDescent="0.3">
      <c r="A10" s="33" t="s">
        <v>121</v>
      </c>
      <c r="B10" s="33">
        <v>0.47</v>
      </c>
      <c r="C10" s="33">
        <v>0.38200000000000001</v>
      </c>
      <c r="D10" s="33">
        <v>0.38400000000000001</v>
      </c>
      <c r="E10" s="32">
        <f t="shared" ref="E10:E11" si="0">AVERAGE(D3,G3,J3)</f>
        <v>0.41199999999999998</v>
      </c>
      <c r="F10" s="32" t="b">
        <f>E30=STDEV(D3,G3,J3)</f>
        <v>0</v>
      </c>
    </row>
    <row r="11" spans="1:10" x14ac:dyDescent="0.3">
      <c r="A11" s="33" t="s">
        <v>122</v>
      </c>
      <c r="B11" s="33">
        <v>0.36399999999999999</v>
      </c>
      <c r="C11" s="33">
        <v>0.252</v>
      </c>
      <c r="D11" s="33">
        <v>0.23599999999999999</v>
      </c>
      <c r="E11" s="32">
        <f t="shared" si="0"/>
        <v>0.28399999999999997</v>
      </c>
      <c r="F11" s="32">
        <f t="shared" ref="F10:F11" si="1">STDEV(D4,G4,J4)</f>
        <v>6.9742383096650928E-2</v>
      </c>
      <c r="H11" s="17" t="e">
        <f>_xlfn.T.TEST(,B29:D29,2,1)</f>
        <v>#VALUE!</v>
      </c>
    </row>
    <row r="12" spans="1:10" x14ac:dyDescent="0.3">
      <c r="A12" s="33" t="s">
        <v>119</v>
      </c>
      <c r="B12" s="33">
        <v>0.42199999999999999</v>
      </c>
      <c r="C12" s="33">
        <v>0.33600000000000002</v>
      </c>
      <c r="D12" s="33">
        <v>0.16800000000000001</v>
      </c>
      <c r="E12" s="30">
        <f>AVERAGE(D5,G5,J5)</f>
        <v>0.3086666666666667</v>
      </c>
      <c r="F12" s="30">
        <f>STDEV(D5,G5,J5)</f>
        <v>0.12918720266858222</v>
      </c>
    </row>
    <row r="13" spans="1:10" x14ac:dyDescent="0.3">
      <c r="A13" s="33" t="s">
        <v>120</v>
      </c>
      <c r="B13" s="33">
        <v>0.35799999999999998</v>
      </c>
      <c r="C13" s="33">
        <v>0.33800000000000002</v>
      </c>
      <c r="D13" s="33">
        <v>0.23</v>
      </c>
      <c r="E13" s="30">
        <f>AVERAGE(D6,G6,J6)</f>
        <v>0.30866666666666664</v>
      </c>
      <c r="F13" s="30">
        <f>STDEV(D6,G6,J6)</f>
        <v>6.8857340446268664E-2</v>
      </c>
    </row>
    <row r="15" spans="1:10" x14ac:dyDescent="0.3">
      <c r="C15" t="s">
        <v>124</v>
      </c>
      <c r="D15" s="14">
        <f>_xlfn.T.TEST(B10:D10,B11:D11,2,1)</f>
        <v>8.9126190679825901E-3</v>
      </c>
    </row>
    <row r="16" spans="1:10" x14ac:dyDescent="0.3">
      <c r="C16" t="s">
        <v>125</v>
      </c>
      <c r="D16" s="14">
        <f>_xlfn.T.TEST(B11:D11,B12:D12,2,1)</f>
        <v>0.65167116281064108</v>
      </c>
    </row>
    <row r="23" spans="1:14" x14ac:dyDescent="0.3">
      <c r="H23" s="33" t="s">
        <v>121</v>
      </c>
      <c r="J23" s="33" t="s">
        <v>122</v>
      </c>
      <c r="L23" s="33" t="s">
        <v>119</v>
      </c>
      <c r="N23" s="33" t="s">
        <v>120</v>
      </c>
    </row>
    <row r="28" spans="1:14" x14ac:dyDescent="0.3">
      <c r="A28" s="17" t="s">
        <v>127</v>
      </c>
      <c r="E28" s="17"/>
      <c r="F28" s="17"/>
    </row>
    <row r="29" spans="1:14" ht="43.2" x14ac:dyDescent="0.3">
      <c r="B29" s="19" t="s">
        <v>130</v>
      </c>
      <c r="C29" s="3" t="s">
        <v>13</v>
      </c>
      <c r="D29" s="3" t="s">
        <v>7</v>
      </c>
      <c r="E29" s="19" t="s">
        <v>1</v>
      </c>
      <c r="F29" s="19" t="s">
        <v>131</v>
      </c>
      <c r="G29" s="19" t="s">
        <v>129</v>
      </c>
      <c r="H29" s="3" t="s">
        <v>7</v>
      </c>
      <c r="I29" s="19" t="s">
        <v>1</v>
      </c>
    </row>
    <row r="30" spans="1:14" x14ac:dyDescent="0.3">
      <c r="A30" s="33" t="s">
        <v>128</v>
      </c>
      <c r="B30" s="5">
        <v>200</v>
      </c>
      <c r="C30" s="5">
        <f>(157+169+ 157+163)/4</f>
        <v>161.5</v>
      </c>
      <c r="D30" s="5">
        <f>C30/B30</f>
        <v>0.8075</v>
      </c>
      <c r="E30" s="5">
        <f>STDEV(157/200,169/200,157/200,163/200)</f>
        <v>2.8722813232690114E-2</v>
      </c>
      <c r="F30" s="5">
        <v>200</v>
      </c>
      <c r="G30" s="5">
        <f>(143+156+185+127)/4</f>
        <v>152.75</v>
      </c>
      <c r="H30" s="5">
        <f>G30/F30</f>
        <v>0.76375000000000004</v>
      </c>
      <c r="I30" s="5">
        <f>STDEV(143/200,156/200,185/200,127/200)</f>
        <v>0.12277180729575904</v>
      </c>
    </row>
  </sheetData>
  <mergeCells count="3">
    <mergeCell ref="B1:D1"/>
    <mergeCell ref="E1:G1"/>
    <mergeCell ref="H1:J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Silencing experiments</vt:lpstr>
      <vt:lpstr>Viability on 5 subpopulations</vt:lpstr>
      <vt:lpstr>Western blotting</vt:lpstr>
      <vt:lpstr>Recovery experiment</vt:lpstr>
      <vt:lpstr>Viability tdTomato-Tsl1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LIU</dc:creator>
  <cp:lastModifiedBy>Jean-Pascal Capp</cp:lastModifiedBy>
  <dcterms:created xsi:type="dcterms:W3CDTF">2016-03-14T16:25:39Z</dcterms:created>
  <dcterms:modified xsi:type="dcterms:W3CDTF">2020-07-22T20:48:34Z</dcterms:modified>
</cp:coreProperties>
</file>