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warsing/Dropbox/Nucleolar Dominance - WT/Nucleolar dominance-Revisions/Supplementary ZIP_final/"/>
    </mc:Choice>
  </mc:AlternateContent>
  <xr:revisionPtr revIDLastSave="0" documentId="13_ncr:1_{1C7E4FD5-CCDD-F649-BB90-A1DEAE182274}" xr6:coauthVersionLast="36" xr6:coauthVersionMax="36" xr10:uidLastSave="{00000000-0000-0000-0000-000000000000}"/>
  <bookViews>
    <workbookView xWindow="1820" yWindow="1220" windowWidth="23320" windowHeight="13160" xr2:uid="{AE00B6EB-654A-D441-A75F-9BFF15B8FC75}"/>
  </bookViews>
  <sheets>
    <sheet name="Figure 1" sheetId="6" r:id="rId1"/>
    <sheet name="Figure 2" sheetId="1" r:id="rId2"/>
    <sheet name="Figure 3" sheetId="5" r:id="rId3"/>
    <sheet name="Figure 4" sheetId="7" r:id="rId4"/>
    <sheet name="Figure 5" sheetId="3" r:id="rId5"/>
    <sheet name="Figure 6" sheetId="4" r:id="rId6"/>
    <sheet name="Figure S2" sheetId="10" r:id="rId7"/>
    <sheet name="Figure S4A" sheetId="8" r:id="rId8"/>
    <sheet name="Figure S4B" sheetId="11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5" i="5" l="1"/>
  <c r="H185" i="5"/>
  <c r="I185" i="5"/>
  <c r="J185" i="5"/>
  <c r="G186" i="5"/>
  <c r="H186" i="5"/>
  <c r="I186" i="5"/>
  <c r="J186" i="5"/>
  <c r="G187" i="5"/>
  <c r="H187" i="5"/>
  <c r="I187" i="5"/>
  <c r="J187" i="5"/>
  <c r="G188" i="5"/>
  <c r="H188" i="5"/>
  <c r="I188" i="5"/>
  <c r="J188" i="5"/>
  <c r="G189" i="5"/>
  <c r="H189" i="5"/>
  <c r="I189" i="5"/>
  <c r="J189" i="5"/>
  <c r="G190" i="5"/>
  <c r="H190" i="5"/>
  <c r="I190" i="5"/>
  <c r="J190" i="5"/>
  <c r="G191" i="5"/>
  <c r="H191" i="5"/>
  <c r="I191" i="5"/>
  <c r="J191" i="5"/>
  <c r="G192" i="5"/>
  <c r="H192" i="5"/>
  <c r="I192" i="5"/>
  <c r="J192" i="5"/>
  <c r="G193" i="5"/>
  <c r="H193" i="5"/>
  <c r="I193" i="5"/>
  <c r="J193" i="5"/>
  <c r="G194" i="5"/>
  <c r="H194" i="5"/>
  <c r="I194" i="5"/>
  <c r="J194" i="5"/>
  <c r="G195" i="5"/>
  <c r="H195" i="5"/>
  <c r="I195" i="5"/>
  <c r="J195" i="5"/>
  <c r="G196" i="5"/>
  <c r="H196" i="5"/>
  <c r="I196" i="5"/>
  <c r="J196" i="5"/>
  <c r="G197" i="5"/>
  <c r="H197" i="5"/>
  <c r="I197" i="5"/>
  <c r="J197" i="5"/>
  <c r="G198" i="5"/>
  <c r="H198" i="5"/>
  <c r="I198" i="5"/>
  <c r="J198" i="5"/>
  <c r="G199" i="5"/>
  <c r="H199" i="5"/>
  <c r="I199" i="5"/>
  <c r="J199" i="5"/>
  <c r="G200" i="5"/>
  <c r="H200" i="5"/>
  <c r="I200" i="5"/>
  <c r="J200" i="5"/>
  <c r="G201" i="5"/>
  <c r="H201" i="5"/>
  <c r="I201" i="5"/>
  <c r="J201" i="5"/>
  <c r="G202" i="5"/>
  <c r="H202" i="5"/>
  <c r="I202" i="5"/>
  <c r="J202" i="5"/>
  <c r="G203" i="5"/>
  <c r="H203" i="5"/>
  <c r="I203" i="5"/>
  <c r="J203" i="5"/>
  <c r="G204" i="5"/>
  <c r="H204" i="5"/>
  <c r="I204" i="5"/>
  <c r="J204" i="5"/>
  <c r="I206" i="5" l="1"/>
  <c r="H206" i="5"/>
  <c r="J206" i="5"/>
  <c r="H205" i="5"/>
  <c r="I205" i="5"/>
  <c r="G205" i="5"/>
  <c r="G206" i="5"/>
  <c r="G111" i="5"/>
  <c r="H111" i="5"/>
  <c r="I111" i="5"/>
  <c r="J111" i="5"/>
  <c r="G112" i="5"/>
  <c r="H112" i="5"/>
  <c r="I112" i="5"/>
  <c r="J112" i="5"/>
  <c r="G113" i="5"/>
  <c r="H113" i="5"/>
  <c r="I113" i="5"/>
  <c r="J113" i="5"/>
  <c r="G114" i="5"/>
  <c r="H114" i="5"/>
  <c r="I114" i="5"/>
  <c r="J114" i="5"/>
  <c r="G115" i="5"/>
  <c r="H115" i="5"/>
  <c r="I115" i="5"/>
  <c r="J115" i="5"/>
  <c r="G116" i="5"/>
  <c r="H116" i="5"/>
  <c r="I116" i="5"/>
  <c r="J116" i="5"/>
  <c r="G117" i="5"/>
  <c r="H117" i="5"/>
  <c r="I117" i="5"/>
  <c r="J117" i="5"/>
  <c r="G118" i="5"/>
  <c r="H118" i="5"/>
  <c r="I118" i="5"/>
  <c r="J118" i="5"/>
  <c r="G119" i="5"/>
  <c r="H119" i="5"/>
  <c r="I119" i="5"/>
  <c r="J119" i="5"/>
  <c r="G120" i="5"/>
  <c r="H120" i="5"/>
  <c r="I120" i="5"/>
  <c r="J120" i="5"/>
  <c r="G121" i="5"/>
  <c r="H121" i="5"/>
  <c r="I121" i="5"/>
  <c r="J121" i="5"/>
  <c r="G122" i="5"/>
  <c r="H122" i="5"/>
  <c r="I122" i="5"/>
  <c r="G125" i="5"/>
  <c r="H125" i="5"/>
  <c r="I125" i="5"/>
  <c r="J125" i="5"/>
  <c r="G126" i="5"/>
  <c r="H126" i="5"/>
  <c r="I126" i="5"/>
  <c r="J126" i="5"/>
  <c r="G127" i="5"/>
  <c r="H127" i="5"/>
  <c r="I127" i="5"/>
  <c r="J127" i="5"/>
  <c r="G128" i="5"/>
  <c r="H128" i="5"/>
  <c r="I128" i="5"/>
  <c r="J128" i="5"/>
  <c r="G129" i="5"/>
  <c r="H129" i="5"/>
  <c r="I129" i="5"/>
  <c r="J129" i="5"/>
  <c r="G130" i="5"/>
  <c r="H130" i="5"/>
  <c r="I130" i="5"/>
  <c r="J130" i="5"/>
  <c r="G131" i="5"/>
  <c r="H131" i="5"/>
  <c r="I131" i="5"/>
  <c r="J131" i="5"/>
  <c r="G132" i="5"/>
  <c r="H132" i="5"/>
  <c r="I132" i="5"/>
  <c r="J132" i="5"/>
  <c r="G133" i="5"/>
  <c r="H133" i="5"/>
  <c r="I133" i="5"/>
  <c r="J133" i="5"/>
  <c r="G134" i="5"/>
  <c r="H134" i="5"/>
  <c r="I134" i="5"/>
  <c r="J134" i="5"/>
  <c r="G135" i="5"/>
  <c r="H135" i="5"/>
  <c r="I135" i="5"/>
  <c r="J135" i="5"/>
  <c r="G136" i="5"/>
  <c r="H136" i="5"/>
  <c r="I136" i="5"/>
  <c r="J136" i="5"/>
  <c r="G137" i="5"/>
  <c r="H137" i="5"/>
  <c r="I137" i="5"/>
  <c r="J137" i="5"/>
  <c r="G138" i="5"/>
  <c r="H138" i="5"/>
  <c r="I138" i="5"/>
  <c r="J138" i="5"/>
  <c r="G139" i="5"/>
  <c r="H139" i="5"/>
  <c r="I139" i="5"/>
  <c r="J139" i="5"/>
  <c r="I140" i="5"/>
  <c r="G143" i="5"/>
  <c r="H143" i="5"/>
  <c r="I143" i="5"/>
  <c r="J143" i="5"/>
  <c r="G144" i="5"/>
  <c r="H144" i="5"/>
  <c r="I144" i="5"/>
  <c r="J144" i="5"/>
  <c r="G145" i="5"/>
  <c r="H145" i="5"/>
  <c r="I145" i="5"/>
  <c r="J145" i="5"/>
  <c r="G146" i="5"/>
  <c r="H146" i="5"/>
  <c r="I146" i="5"/>
  <c r="J146" i="5"/>
  <c r="G147" i="5"/>
  <c r="H147" i="5"/>
  <c r="I147" i="5"/>
  <c r="J147" i="5"/>
  <c r="G148" i="5"/>
  <c r="H148" i="5"/>
  <c r="I148" i="5"/>
  <c r="J148" i="5"/>
  <c r="G149" i="5"/>
  <c r="H149" i="5"/>
  <c r="I149" i="5"/>
  <c r="J149" i="5"/>
  <c r="G150" i="5"/>
  <c r="H150" i="5"/>
  <c r="I150" i="5"/>
  <c r="J150" i="5"/>
  <c r="G151" i="5"/>
  <c r="H151" i="5"/>
  <c r="I151" i="5"/>
  <c r="J151" i="5"/>
  <c r="G152" i="5"/>
  <c r="H152" i="5"/>
  <c r="I152" i="5"/>
  <c r="J152" i="5"/>
  <c r="G153" i="5"/>
  <c r="H153" i="5"/>
  <c r="I153" i="5"/>
  <c r="J153" i="5"/>
  <c r="G154" i="5"/>
  <c r="H154" i="5"/>
  <c r="I154" i="5"/>
  <c r="J154" i="5"/>
  <c r="G155" i="5"/>
  <c r="H155" i="5"/>
  <c r="I155" i="5"/>
  <c r="J155" i="5"/>
  <c r="G156" i="5"/>
  <c r="H156" i="5"/>
  <c r="I156" i="5"/>
  <c r="J156" i="5"/>
  <c r="G157" i="5"/>
  <c r="H157" i="5"/>
  <c r="I157" i="5"/>
  <c r="J157" i="5"/>
  <c r="G158" i="5"/>
  <c r="H158" i="5"/>
  <c r="I158" i="5"/>
  <c r="J158" i="5"/>
  <c r="G159" i="5"/>
  <c r="H159" i="5"/>
  <c r="I159" i="5"/>
  <c r="J159" i="5"/>
  <c r="G160" i="5"/>
  <c r="H160" i="5"/>
  <c r="I160" i="5"/>
  <c r="J160" i="5"/>
  <c r="G161" i="5"/>
  <c r="H161" i="5"/>
  <c r="I161" i="5"/>
  <c r="J161" i="5"/>
  <c r="G162" i="5"/>
  <c r="H162" i="5"/>
  <c r="I162" i="5"/>
  <c r="J162" i="5"/>
  <c r="G163" i="5"/>
  <c r="H163" i="5"/>
  <c r="I163" i="5"/>
  <c r="J163" i="5"/>
  <c r="G164" i="5"/>
  <c r="H164" i="5"/>
  <c r="I164" i="5"/>
  <c r="J164" i="5"/>
  <c r="G165" i="5"/>
  <c r="H165" i="5"/>
  <c r="I165" i="5"/>
  <c r="J165" i="5"/>
  <c r="G166" i="5"/>
  <c r="H166" i="5"/>
  <c r="I166" i="5"/>
  <c r="J166" i="5"/>
  <c r="G167" i="5"/>
  <c r="H167" i="5"/>
  <c r="I167" i="5"/>
  <c r="J167" i="5"/>
  <c r="G168" i="5"/>
  <c r="H168" i="5"/>
  <c r="I168" i="5"/>
  <c r="J168" i="5"/>
  <c r="G169" i="5"/>
  <c r="H169" i="5"/>
  <c r="I169" i="5"/>
  <c r="J169" i="5"/>
  <c r="G170" i="5"/>
  <c r="H170" i="5"/>
  <c r="I170" i="5"/>
  <c r="J170" i="5"/>
  <c r="G171" i="5"/>
  <c r="H171" i="5"/>
  <c r="I171" i="5"/>
  <c r="J171" i="5"/>
  <c r="G172" i="5"/>
  <c r="H172" i="5"/>
  <c r="I172" i="5"/>
  <c r="J172" i="5"/>
  <c r="G173" i="5"/>
  <c r="H173" i="5"/>
  <c r="I173" i="5"/>
  <c r="J173" i="5"/>
  <c r="G174" i="5"/>
  <c r="H174" i="5"/>
  <c r="I174" i="5"/>
  <c r="J174" i="5"/>
  <c r="G175" i="5"/>
  <c r="H175" i="5"/>
  <c r="I175" i="5"/>
  <c r="J175" i="5"/>
  <c r="G176" i="5"/>
  <c r="H176" i="5"/>
  <c r="I176" i="5"/>
  <c r="J176" i="5"/>
  <c r="G177" i="5"/>
  <c r="H177" i="5"/>
  <c r="I177" i="5"/>
  <c r="J177" i="5"/>
  <c r="G178" i="5"/>
  <c r="H178" i="5"/>
  <c r="I178" i="5"/>
  <c r="J178" i="5"/>
  <c r="G179" i="5"/>
  <c r="H179" i="5"/>
  <c r="I179" i="5"/>
  <c r="J179" i="5"/>
  <c r="G180" i="5"/>
  <c r="H180" i="5"/>
  <c r="I180" i="5"/>
  <c r="H140" i="5" l="1"/>
  <c r="G123" i="5"/>
  <c r="I181" i="5"/>
  <c r="J141" i="5"/>
  <c r="I141" i="5"/>
  <c r="H123" i="5"/>
  <c r="G140" i="5"/>
  <c r="J181" i="5"/>
  <c r="H141" i="5"/>
  <c r="I123" i="5"/>
  <c r="G141" i="5"/>
  <c r="H181" i="5"/>
  <c r="J123" i="5"/>
  <c r="G181" i="5"/>
  <c r="J74" i="6" l="1"/>
  <c r="I74" i="6"/>
  <c r="H74" i="6"/>
  <c r="G74" i="6"/>
  <c r="J71" i="6"/>
  <c r="I71" i="6"/>
  <c r="H71" i="6"/>
  <c r="G71" i="6"/>
  <c r="J68" i="6"/>
  <c r="I68" i="6"/>
  <c r="H68" i="6"/>
  <c r="G68" i="6"/>
  <c r="J65" i="6"/>
  <c r="I65" i="6"/>
  <c r="H65" i="6"/>
  <c r="G65" i="6"/>
  <c r="J62" i="6"/>
  <c r="I62" i="6"/>
  <c r="H62" i="6"/>
  <c r="G62" i="6"/>
  <c r="J59" i="6"/>
  <c r="I59" i="6"/>
  <c r="H59" i="6"/>
  <c r="G59" i="6"/>
  <c r="J56" i="6"/>
  <c r="I56" i="6"/>
  <c r="H56" i="6"/>
  <c r="G56" i="6"/>
  <c r="J53" i="6"/>
  <c r="I53" i="6"/>
  <c r="H53" i="6"/>
  <c r="G53" i="6"/>
  <c r="J50" i="6"/>
  <c r="I50" i="6"/>
  <c r="H50" i="6"/>
  <c r="G50" i="6"/>
  <c r="J47" i="6"/>
  <c r="I47" i="6"/>
  <c r="H47" i="6"/>
  <c r="G47" i="6"/>
  <c r="J42" i="6"/>
  <c r="I42" i="6"/>
  <c r="H42" i="6"/>
  <c r="G42" i="6"/>
  <c r="J39" i="6"/>
  <c r="I39" i="6"/>
  <c r="H39" i="6"/>
  <c r="G39" i="6"/>
  <c r="J38" i="6"/>
  <c r="I38" i="6"/>
  <c r="H38" i="6"/>
  <c r="G38" i="6"/>
  <c r="J37" i="6"/>
  <c r="I37" i="6"/>
  <c r="H37" i="6"/>
  <c r="G37" i="6"/>
  <c r="J34" i="6"/>
  <c r="I34" i="6"/>
  <c r="H34" i="6"/>
  <c r="G34" i="6"/>
  <c r="J33" i="6"/>
  <c r="I33" i="6"/>
  <c r="H33" i="6"/>
  <c r="G33" i="6"/>
  <c r="J30" i="6"/>
  <c r="I30" i="6"/>
  <c r="H30" i="6"/>
  <c r="G30" i="6"/>
  <c r="J27" i="6"/>
  <c r="I27" i="6"/>
  <c r="H27" i="6"/>
  <c r="G27" i="6"/>
  <c r="J24" i="6"/>
  <c r="I24" i="6"/>
  <c r="H24" i="6"/>
  <c r="G24" i="6"/>
  <c r="J23" i="6"/>
  <c r="I23" i="6"/>
  <c r="H23" i="6"/>
  <c r="G23" i="6"/>
  <c r="J20" i="6"/>
  <c r="I20" i="6"/>
  <c r="H20" i="6"/>
  <c r="G20" i="6"/>
  <c r="J17" i="6"/>
  <c r="I17" i="6"/>
  <c r="H17" i="6"/>
  <c r="G17" i="6"/>
  <c r="J12" i="6"/>
  <c r="I12" i="6"/>
  <c r="H12" i="6"/>
  <c r="G12" i="6"/>
  <c r="J11" i="6"/>
  <c r="I11" i="6"/>
  <c r="H11" i="6"/>
  <c r="G11" i="6"/>
  <c r="J10" i="6"/>
  <c r="I10" i="6"/>
  <c r="H10" i="6"/>
  <c r="G10" i="6"/>
  <c r="J9" i="6"/>
  <c r="I9" i="6"/>
  <c r="H9" i="6"/>
  <c r="G9" i="6"/>
  <c r="J8" i="6"/>
  <c r="I8" i="6"/>
  <c r="H8" i="6"/>
  <c r="G8" i="6"/>
  <c r="J7" i="6"/>
  <c r="I7" i="6"/>
  <c r="H7" i="6"/>
  <c r="G7" i="6"/>
  <c r="J4" i="6"/>
  <c r="I4" i="6"/>
  <c r="H4" i="6"/>
  <c r="G4" i="6"/>
  <c r="E108" i="10"/>
  <c r="I108" i="10"/>
  <c r="E109" i="10"/>
  <c r="I109" i="10"/>
  <c r="E110" i="10"/>
  <c r="I110" i="10"/>
  <c r="I111" i="10"/>
  <c r="E112" i="10"/>
  <c r="I112" i="10"/>
  <c r="E113" i="10"/>
  <c r="I113" i="10"/>
  <c r="I115" i="10"/>
  <c r="H108" i="10"/>
  <c r="H109" i="10"/>
  <c r="H110" i="10"/>
  <c r="H111" i="10"/>
  <c r="H112" i="10"/>
  <c r="H113" i="10"/>
  <c r="H115" i="10"/>
  <c r="G108" i="10"/>
  <c r="G109" i="10"/>
  <c r="G110" i="10"/>
  <c r="G111" i="10"/>
  <c r="G112" i="10"/>
  <c r="G113" i="10"/>
  <c r="G115" i="10"/>
  <c r="J108" i="10"/>
  <c r="J109" i="10"/>
  <c r="J110" i="10"/>
  <c r="J111" i="10"/>
  <c r="J112" i="10"/>
  <c r="J113" i="10"/>
  <c r="J115" i="10"/>
  <c r="I114" i="10"/>
  <c r="H114" i="10"/>
  <c r="G114" i="10"/>
  <c r="F91" i="10"/>
  <c r="D91" i="10"/>
  <c r="E91" i="10"/>
  <c r="I91" i="10"/>
  <c r="F94" i="10"/>
  <c r="D94" i="10"/>
  <c r="E92" i="10"/>
  <c r="E94" i="10"/>
  <c r="I94" i="10"/>
  <c r="F97" i="10"/>
  <c r="D97" i="10"/>
  <c r="E97" i="10"/>
  <c r="I97" i="10"/>
  <c r="F100" i="10"/>
  <c r="D100" i="10"/>
  <c r="E100" i="10"/>
  <c r="I100" i="10"/>
  <c r="F103" i="10"/>
  <c r="D103" i="10"/>
  <c r="E103" i="10"/>
  <c r="I103" i="10"/>
  <c r="I105" i="10"/>
  <c r="H91" i="10"/>
  <c r="H94" i="10"/>
  <c r="H97" i="10"/>
  <c r="H100" i="10"/>
  <c r="H103" i="10"/>
  <c r="H105" i="10"/>
  <c r="G91" i="10"/>
  <c r="G94" i="10"/>
  <c r="G97" i="10"/>
  <c r="G100" i="10"/>
  <c r="G103" i="10"/>
  <c r="G105" i="10"/>
  <c r="J91" i="10"/>
  <c r="J94" i="10"/>
  <c r="J97" i="10"/>
  <c r="J100" i="10"/>
  <c r="J103" i="10"/>
  <c r="J105" i="10"/>
  <c r="I104" i="10"/>
  <c r="H104" i="10"/>
  <c r="G104" i="10"/>
  <c r="E74" i="10"/>
  <c r="I74" i="10"/>
  <c r="I75" i="10"/>
  <c r="E76" i="10"/>
  <c r="I76" i="10"/>
  <c r="E77" i="10"/>
  <c r="I77" i="10"/>
  <c r="E78" i="10"/>
  <c r="I78" i="10"/>
  <c r="E79" i="10"/>
  <c r="I79" i="10"/>
  <c r="I80" i="10"/>
  <c r="I81" i="10"/>
  <c r="E82" i="10"/>
  <c r="I82" i="10"/>
  <c r="I83" i="10"/>
  <c r="E84" i="10"/>
  <c r="I84" i="10"/>
  <c r="I86" i="10"/>
  <c r="H74" i="10"/>
  <c r="H75" i="10"/>
  <c r="H76" i="10"/>
  <c r="H77" i="10"/>
  <c r="H78" i="10"/>
  <c r="H79" i="10"/>
  <c r="H80" i="10"/>
  <c r="H81" i="10"/>
  <c r="H82" i="10"/>
  <c r="H83" i="10"/>
  <c r="H84" i="10"/>
  <c r="H86" i="10"/>
  <c r="G74" i="10"/>
  <c r="G75" i="10"/>
  <c r="G76" i="10"/>
  <c r="G77" i="10"/>
  <c r="G78" i="10"/>
  <c r="G79" i="10"/>
  <c r="G80" i="10"/>
  <c r="G81" i="10"/>
  <c r="G82" i="10"/>
  <c r="G83" i="10"/>
  <c r="G84" i="10"/>
  <c r="G86" i="10"/>
  <c r="J74" i="10"/>
  <c r="J75" i="10"/>
  <c r="J76" i="10"/>
  <c r="J77" i="10"/>
  <c r="J78" i="10"/>
  <c r="J79" i="10"/>
  <c r="J80" i="10"/>
  <c r="J81" i="10"/>
  <c r="J82" i="10"/>
  <c r="J83" i="10"/>
  <c r="J84" i="10"/>
  <c r="J86" i="10"/>
  <c r="I85" i="10"/>
  <c r="H85" i="10"/>
  <c r="G85" i="10"/>
  <c r="I63" i="10"/>
  <c r="I64" i="10"/>
  <c r="I65" i="10"/>
  <c r="E66" i="10"/>
  <c r="I66" i="10"/>
  <c r="E67" i="10"/>
  <c r="I67" i="10"/>
  <c r="I68" i="10"/>
  <c r="I69" i="10"/>
  <c r="I71" i="10"/>
  <c r="H63" i="10"/>
  <c r="H64" i="10"/>
  <c r="H65" i="10"/>
  <c r="H66" i="10"/>
  <c r="H67" i="10"/>
  <c r="H68" i="10"/>
  <c r="H69" i="10"/>
  <c r="H71" i="10"/>
  <c r="G63" i="10"/>
  <c r="G64" i="10"/>
  <c r="G65" i="10"/>
  <c r="G66" i="10"/>
  <c r="G67" i="10"/>
  <c r="G68" i="10"/>
  <c r="G69" i="10"/>
  <c r="G71" i="10"/>
  <c r="J63" i="10"/>
  <c r="J64" i="10"/>
  <c r="J65" i="10"/>
  <c r="J66" i="10"/>
  <c r="J67" i="10"/>
  <c r="J68" i="10"/>
  <c r="J69" i="10"/>
  <c r="J71" i="10"/>
  <c r="I70" i="10"/>
  <c r="H70" i="10"/>
  <c r="G70" i="10"/>
  <c r="F43" i="10"/>
  <c r="D43" i="10"/>
  <c r="E42" i="10"/>
  <c r="E43" i="10"/>
  <c r="I43" i="10"/>
  <c r="F46" i="10"/>
  <c r="D46" i="10"/>
  <c r="E46" i="10"/>
  <c r="I46" i="10"/>
  <c r="F49" i="10"/>
  <c r="D49" i="10"/>
  <c r="E47" i="10"/>
  <c r="E48" i="10"/>
  <c r="E49" i="10"/>
  <c r="I49" i="10"/>
  <c r="F52" i="10"/>
  <c r="D52" i="10"/>
  <c r="E52" i="10"/>
  <c r="I52" i="10"/>
  <c r="F55" i="10"/>
  <c r="D55" i="10"/>
  <c r="E54" i="10"/>
  <c r="E55" i="10"/>
  <c r="I55" i="10"/>
  <c r="F58" i="10"/>
  <c r="D58" i="10"/>
  <c r="E57" i="10"/>
  <c r="E58" i="10"/>
  <c r="I58" i="10"/>
  <c r="I60" i="10"/>
  <c r="H43" i="10"/>
  <c r="H46" i="10"/>
  <c r="H49" i="10"/>
  <c r="H52" i="10"/>
  <c r="H55" i="10"/>
  <c r="H58" i="10"/>
  <c r="H60" i="10"/>
  <c r="G43" i="10"/>
  <c r="G46" i="10"/>
  <c r="G49" i="10"/>
  <c r="G52" i="10"/>
  <c r="G55" i="10"/>
  <c r="G58" i="10"/>
  <c r="G60" i="10"/>
  <c r="J43" i="10"/>
  <c r="J46" i="10"/>
  <c r="J49" i="10"/>
  <c r="J52" i="10"/>
  <c r="J55" i="10"/>
  <c r="J58" i="10"/>
  <c r="J60" i="10"/>
  <c r="I59" i="10"/>
  <c r="H59" i="10"/>
  <c r="G59" i="10"/>
  <c r="F24" i="10"/>
  <c r="D24" i="10"/>
  <c r="E24" i="10"/>
  <c r="I24" i="10"/>
  <c r="F27" i="10"/>
  <c r="D27" i="10"/>
  <c r="E27" i="10"/>
  <c r="I27" i="10"/>
  <c r="F30" i="10"/>
  <c r="D30" i="10"/>
  <c r="E30" i="10"/>
  <c r="I30" i="10"/>
  <c r="F33" i="10"/>
  <c r="D33" i="10"/>
  <c r="E33" i="10"/>
  <c r="I33" i="10"/>
  <c r="F36" i="10"/>
  <c r="D36" i="10"/>
  <c r="E36" i="10"/>
  <c r="I36" i="10"/>
  <c r="I38" i="10"/>
  <c r="H24" i="10"/>
  <c r="H27" i="10"/>
  <c r="H30" i="10"/>
  <c r="H33" i="10"/>
  <c r="H36" i="10"/>
  <c r="H38" i="10"/>
  <c r="G24" i="10"/>
  <c r="G27" i="10"/>
  <c r="G30" i="10"/>
  <c r="G33" i="10"/>
  <c r="G36" i="10"/>
  <c r="G38" i="10"/>
  <c r="J24" i="10"/>
  <c r="J27" i="10"/>
  <c r="J30" i="10"/>
  <c r="J33" i="10"/>
  <c r="J36" i="10"/>
  <c r="J38" i="10"/>
  <c r="I37" i="10"/>
  <c r="H37" i="10"/>
  <c r="G37" i="10"/>
  <c r="I10" i="10"/>
  <c r="E11" i="10"/>
  <c r="I11" i="10"/>
  <c r="I12" i="10"/>
  <c r="I13" i="10"/>
  <c r="E14" i="10"/>
  <c r="I14" i="10"/>
  <c r="E15" i="10"/>
  <c r="I15" i="10"/>
  <c r="I16" i="10"/>
  <c r="I17" i="10"/>
  <c r="I19" i="10"/>
  <c r="H10" i="10"/>
  <c r="H11" i="10"/>
  <c r="H12" i="10"/>
  <c r="H13" i="10"/>
  <c r="H14" i="10"/>
  <c r="H15" i="10"/>
  <c r="H16" i="10"/>
  <c r="H17" i="10"/>
  <c r="H19" i="10"/>
  <c r="G10" i="10"/>
  <c r="G11" i="10"/>
  <c r="G12" i="10"/>
  <c r="G13" i="10"/>
  <c r="G14" i="10"/>
  <c r="G15" i="10"/>
  <c r="G16" i="10"/>
  <c r="G17" i="10"/>
  <c r="G19" i="10"/>
  <c r="J10" i="10"/>
  <c r="J11" i="10"/>
  <c r="J12" i="10"/>
  <c r="J13" i="10"/>
  <c r="J14" i="10"/>
  <c r="J15" i="10"/>
  <c r="J16" i="10"/>
  <c r="J17" i="10"/>
  <c r="J19" i="10"/>
  <c r="I18" i="10"/>
  <c r="H18" i="10"/>
  <c r="G18" i="10"/>
  <c r="I2" i="10"/>
  <c r="I3" i="10"/>
  <c r="I4" i="10"/>
  <c r="E5" i="10"/>
  <c r="I5" i="10"/>
  <c r="I7" i="10"/>
  <c r="H2" i="10"/>
  <c r="H3" i="10"/>
  <c r="H4" i="10"/>
  <c r="H5" i="10"/>
  <c r="H7" i="10"/>
  <c r="G2" i="10"/>
  <c r="G3" i="10"/>
  <c r="G4" i="10"/>
  <c r="G5" i="10"/>
  <c r="G7" i="10"/>
  <c r="J2" i="10"/>
  <c r="J3" i="10"/>
  <c r="J4" i="10"/>
  <c r="J5" i="10"/>
  <c r="J7" i="10"/>
  <c r="I6" i="10"/>
  <c r="H6" i="10"/>
  <c r="G6" i="10"/>
  <c r="F47" i="6"/>
  <c r="E45" i="6"/>
  <c r="E46" i="6"/>
  <c r="E47" i="6"/>
  <c r="D47" i="6"/>
  <c r="F50" i="6"/>
  <c r="E48" i="6"/>
  <c r="E49" i="6"/>
  <c r="E50" i="6"/>
  <c r="D50" i="6"/>
  <c r="F53" i="6"/>
  <c r="E51" i="6"/>
  <c r="E52" i="6"/>
  <c r="E53" i="6"/>
  <c r="D53" i="6"/>
  <c r="F56" i="6"/>
  <c r="E54" i="6"/>
  <c r="E55" i="6"/>
  <c r="E56" i="6"/>
  <c r="D56" i="6"/>
  <c r="F59" i="6"/>
  <c r="E58" i="6"/>
  <c r="E59" i="6"/>
  <c r="D59" i="6"/>
  <c r="F62" i="6"/>
  <c r="E60" i="6"/>
  <c r="E61" i="6"/>
  <c r="E62" i="6"/>
  <c r="D62" i="6"/>
  <c r="F65" i="6"/>
  <c r="E63" i="6"/>
  <c r="E65" i="6"/>
  <c r="D65" i="6"/>
  <c r="F68" i="6"/>
  <c r="E66" i="6"/>
  <c r="E68" i="6"/>
  <c r="D68" i="6"/>
  <c r="F71" i="6"/>
  <c r="E69" i="6"/>
  <c r="E70" i="6"/>
  <c r="E71" i="6"/>
  <c r="D71" i="6"/>
  <c r="F74" i="6"/>
  <c r="E72" i="6"/>
  <c r="E73" i="6"/>
  <c r="E74" i="6"/>
  <c r="D74" i="6"/>
  <c r="I76" i="6"/>
  <c r="G76" i="6"/>
  <c r="H76" i="6"/>
  <c r="J76" i="6"/>
  <c r="I75" i="6"/>
  <c r="G75" i="6"/>
  <c r="H75" i="6"/>
  <c r="F17" i="6"/>
  <c r="E15" i="6"/>
  <c r="E17" i="6"/>
  <c r="D17" i="6"/>
  <c r="F20" i="6"/>
  <c r="E19" i="6"/>
  <c r="E20" i="6"/>
  <c r="D20" i="6"/>
  <c r="F23" i="6"/>
  <c r="E21" i="6"/>
  <c r="E22" i="6"/>
  <c r="E23" i="6"/>
  <c r="D23" i="6"/>
  <c r="E24" i="6"/>
  <c r="F27" i="6"/>
  <c r="E26" i="6"/>
  <c r="E27" i="6"/>
  <c r="D27" i="6"/>
  <c r="F30" i="6"/>
  <c r="E28" i="6"/>
  <c r="E30" i="6"/>
  <c r="D30" i="6"/>
  <c r="F33" i="6"/>
  <c r="E31" i="6"/>
  <c r="E32" i="6"/>
  <c r="E33" i="6"/>
  <c r="D33" i="6"/>
  <c r="F37" i="6"/>
  <c r="E37" i="6"/>
  <c r="D37" i="6"/>
  <c r="E38" i="6"/>
  <c r="F42" i="6"/>
  <c r="E42" i="6"/>
  <c r="D42" i="6"/>
  <c r="I44" i="6"/>
  <c r="G44" i="6"/>
  <c r="H44" i="6"/>
  <c r="J44" i="6"/>
  <c r="I43" i="6"/>
  <c r="G43" i="6"/>
  <c r="H43" i="6"/>
  <c r="F4" i="6"/>
  <c r="E4" i="6"/>
  <c r="D4" i="6"/>
  <c r="F7" i="6"/>
  <c r="E6" i="6"/>
  <c r="E7" i="6"/>
  <c r="D7" i="6"/>
  <c r="I14" i="6"/>
  <c r="G14" i="6"/>
  <c r="H14" i="6"/>
  <c r="J14" i="6"/>
  <c r="I13" i="6"/>
  <c r="G13" i="6"/>
  <c r="H13" i="6"/>
  <c r="F5" i="6"/>
  <c r="E5" i="6"/>
  <c r="F82" i="5"/>
  <c r="D82" i="5"/>
  <c r="E80" i="5"/>
  <c r="E81" i="5"/>
  <c r="E82" i="5"/>
  <c r="F85" i="5"/>
  <c r="D85" i="5"/>
  <c r="E83" i="5"/>
  <c r="E84" i="5"/>
  <c r="F88" i="5"/>
  <c r="D88" i="5"/>
  <c r="E86" i="5"/>
  <c r="E87" i="5"/>
  <c r="F91" i="5"/>
  <c r="D91" i="5"/>
  <c r="E91" i="5"/>
  <c r="G91" i="5" s="1"/>
  <c r="F92" i="5"/>
  <c r="F94" i="5" s="1"/>
  <c r="D94" i="5"/>
  <c r="E92" i="5"/>
  <c r="E94" i="5" s="1"/>
  <c r="F97" i="5"/>
  <c r="D97" i="5"/>
  <c r="E95" i="5"/>
  <c r="E96" i="5"/>
  <c r="F60" i="5"/>
  <c r="D60" i="5"/>
  <c r="E58" i="5"/>
  <c r="E60" i="5" s="1"/>
  <c r="E59" i="5"/>
  <c r="F63" i="5"/>
  <c r="D63" i="5"/>
  <c r="E61" i="5"/>
  <c r="E63" i="5" s="1"/>
  <c r="F66" i="5"/>
  <c r="D66" i="5"/>
  <c r="E65" i="5"/>
  <c r="E66" i="5" s="1"/>
  <c r="F69" i="5"/>
  <c r="D69" i="5"/>
  <c r="E69" i="5"/>
  <c r="F72" i="5"/>
  <c r="D72" i="5"/>
  <c r="E70" i="5"/>
  <c r="E72" i="5" s="1"/>
  <c r="F75" i="5"/>
  <c r="D75" i="5"/>
  <c r="E73" i="5"/>
  <c r="E74" i="5"/>
  <c r="J69" i="5"/>
  <c r="F37" i="5"/>
  <c r="D37" i="5"/>
  <c r="E35" i="5"/>
  <c r="E37" i="5"/>
  <c r="F40" i="5"/>
  <c r="D40" i="5"/>
  <c r="E39" i="5"/>
  <c r="E40" i="5"/>
  <c r="F43" i="5"/>
  <c r="D43" i="5"/>
  <c r="E42" i="5"/>
  <c r="E43" i="5" s="1"/>
  <c r="F46" i="5"/>
  <c r="D46" i="5"/>
  <c r="E45" i="5"/>
  <c r="E46" i="5" s="1"/>
  <c r="F49" i="5"/>
  <c r="D49" i="5"/>
  <c r="E47" i="5"/>
  <c r="E49" i="5" s="1"/>
  <c r="F52" i="5"/>
  <c r="D52" i="5"/>
  <c r="E50" i="5"/>
  <c r="E51" i="5"/>
  <c r="F4" i="5"/>
  <c r="D4" i="5"/>
  <c r="E4" i="5"/>
  <c r="F7" i="5"/>
  <c r="D7" i="5"/>
  <c r="E6" i="5"/>
  <c r="E7" i="5" s="1"/>
  <c r="F10" i="5"/>
  <c r="D10" i="5"/>
  <c r="E8" i="5"/>
  <c r="E10" i="5"/>
  <c r="F13" i="5"/>
  <c r="D13" i="5"/>
  <c r="J13" i="5" s="1"/>
  <c r="E13" i="5"/>
  <c r="F16" i="5"/>
  <c r="D16" i="5"/>
  <c r="E16" i="5"/>
  <c r="F19" i="5"/>
  <c r="D19" i="5"/>
  <c r="E17" i="5"/>
  <c r="E19" i="5" s="1"/>
  <c r="F22" i="5"/>
  <c r="D22" i="5"/>
  <c r="E22" i="5"/>
  <c r="F25" i="5"/>
  <c r="D25" i="5"/>
  <c r="E25" i="5"/>
  <c r="F28" i="5"/>
  <c r="D28" i="5"/>
  <c r="E26" i="5"/>
  <c r="E27" i="5"/>
  <c r="F115" i="4"/>
  <c r="D115" i="4"/>
  <c r="E115" i="4"/>
  <c r="I115" i="4"/>
  <c r="D116" i="4"/>
  <c r="E116" i="4"/>
  <c r="I116" i="4"/>
  <c r="D117" i="4"/>
  <c r="E117" i="4"/>
  <c r="I117" i="4"/>
  <c r="D118" i="4"/>
  <c r="E118" i="4"/>
  <c r="I118" i="4"/>
  <c r="D119" i="4"/>
  <c r="E119" i="4"/>
  <c r="I119" i="4"/>
  <c r="D120" i="4"/>
  <c r="E120" i="4"/>
  <c r="I120" i="4"/>
  <c r="D121" i="4"/>
  <c r="E121" i="4"/>
  <c r="I121" i="4"/>
  <c r="D122" i="4"/>
  <c r="E122" i="4"/>
  <c r="I122" i="4"/>
  <c r="D123" i="4"/>
  <c r="E123" i="4"/>
  <c r="I123" i="4"/>
  <c r="D124" i="4"/>
  <c r="E124" i="4"/>
  <c r="I124" i="4"/>
  <c r="D125" i="4"/>
  <c r="E125" i="4"/>
  <c r="I125" i="4"/>
  <c r="D126" i="4"/>
  <c r="E126" i="4"/>
  <c r="I126" i="4"/>
  <c r="D127" i="4"/>
  <c r="E127" i="4"/>
  <c r="I127" i="4"/>
  <c r="D128" i="4"/>
  <c r="E128" i="4"/>
  <c r="I128" i="4"/>
  <c r="D129" i="4"/>
  <c r="E129" i="4"/>
  <c r="I129" i="4"/>
  <c r="D130" i="4"/>
  <c r="E130" i="4"/>
  <c r="I130" i="4"/>
  <c r="D131" i="4"/>
  <c r="E131" i="4"/>
  <c r="I131" i="4"/>
  <c r="D132" i="4"/>
  <c r="E132" i="4"/>
  <c r="I132" i="4"/>
  <c r="D133" i="4"/>
  <c r="E133" i="4"/>
  <c r="I133" i="4"/>
  <c r="D134" i="4"/>
  <c r="E134" i="4"/>
  <c r="I134" i="4"/>
  <c r="D135" i="4"/>
  <c r="E135" i="4"/>
  <c r="I135" i="4"/>
  <c r="D136" i="4"/>
  <c r="E136" i="4"/>
  <c r="I136" i="4"/>
  <c r="D137" i="4"/>
  <c r="E137" i="4"/>
  <c r="I137" i="4"/>
  <c r="D138" i="4"/>
  <c r="E138" i="4"/>
  <c r="I138" i="4"/>
  <c r="D139" i="4"/>
  <c r="E139" i="4"/>
  <c r="I139" i="4"/>
  <c r="D140" i="4"/>
  <c r="E140" i="4"/>
  <c r="I140" i="4"/>
  <c r="D141" i="4"/>
  <c r="E141" i="4"/>
  <c r="I141" i="4"/>
  <c r="D142" i="4"/>
  <c r="E142" i="4"/>
  <c r="I142" i="4"/>
  <c r="D143" i="4"/>
  <c r="E143" i="4"/>
  <c r="I143" i="4"/>
  <c r="D144" i="4"/>
  <c r="E144" i="4"/>
  <c r="I144" i="4"/>
  <c r="D145" i="4"/>
  <c r="E145" i="4"/>
  <c r="I145" i="4"/>
  <c r="D146" i="4"/>
  <c r="E146" i="4"/>
  <c r="I146" i="4"/>
  <c r="D147" i="4"/>
  <c r="E147" i="4"/>
  <c r="I147" i="4"/>
  <c r="D148" i="4"/>
  <c r="E148" i="4"/>
  <c r="I148" i="4"/>
  <c r="D149" i="4"/>
  <c r="E149" i="4"/>
  <c r="I149" i="4"/>
  <c r="D150" i="4"/>
  <c r="E150" i="4"/>
  <c r="I150" i="4"/>
  <c r="D151" i="4"/>
  <c r="E151" i="4"/>
  <c r="I151" i="4"/>
  <c r="D152" i="4"/>
  <c r="E152" i="4"/>
  <c r="I152" i="4"/>
  <c r="D153" i="4"/>
  <c r="E153" i="4"/>
  <c r="I153" i="4"/>
  <c r="D154" i="4"/>
  <c r="E154" i="4"/>
  <c r="I154" i="4"/>
  <c r="D155" i="4"/>
  <c r="E155" i="4"/>
  <c r="I155" i="4"/>
  <c r="D156" i="4"/>
  <c r="E156" i="4"/>
  <c r="I156" i="4"/>
  <c r="D157" i="4"/>
  <c r="E157" i="4"/>
  <c r="I157" i="4"/>
  <c r="D158" i="4"/>
  <c r="E158" i="4"/>
  <c r="I158" i="4"/>
  <c r="D159" i="4"/>
  <c r="E159" i="4"/>
  <c r="I159" i="4"/>
  <c r="D160" i="4"/>
  <c r="E160" i="4"/>
  <c r="I160" i="4"/>
  <c r="D161" i="4"/>
  <c r="E161" i="4"/>
  <c r="I161" i="4"/>
  <c r="D162" i="4"/>
  <c r="E162" i="4"/>
  <c r="I162" i="4"/>
  <c r="D163" i="4"/>
  <c r="E163" i="4"/>
  <c r="I163" i="4"/>
  <c r="F111" i="4"/>
  <c r="D111" i="4"/>
  <c r="E111" i="4"/>
  <c r="I111" i="4"/>
  <c r="F107" i="4"/>
  <c r="D107" i="4"/>
  <c r="E107" i="4"/>
  <c r="I107" i="4"/>
  <c r="I165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11" i="4"/>
  <c r="H107" i="4"/>
  <c r="H165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11" i="4"/>
  <c r="G107" i="4"/>
  <c r="G165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11" i="4"/>
  <c r="J107" i="4"/>
  <c r="J165" i="4"/>
  <c r="I164" i="4"/>
  <c r="H164" i="4"/>
  <c r="G164" i="4"/>
  <c r="F61" i="4"/>
  <c r="D61" i="4"/>
  <c r="E59" i="4"/>
  <c r="E60" i="4"/>
  <c r="E61" i="4"/>
  <c r="I61" i="4"/>
  <c r="F64" i="4"/>
  <c r="D64" i="4"/>
  <c r="E62" i="4"/>
  <c r="E64" i="4"/>
  <c r="I64" i="4"/>
  <c r="F67" i="4"/>
  <c r="D67" i="4"/>
  <c r="E65" i="4"/>
  <c r="E66" i="4"/>
  <c r="E67" i="4"/>
  <c r="I67" i="4"/>
  <c r="F70" i="4"/>
  <c r="D70" i="4"/>
  <c r="E68" i="4"/>
  <c r="E70" i="4"/>
  <c r="I70" i="4"/>
  <c r="F73" i="4"/>
  <c r="D73" i="4"/>
  <c r="E71" i="4"/>
  <c r="E73" i="4"/>
  <c r="I73" i="4"/>
  <c r="F76" i="4"/>
  <c r="D76" i="4"/>
  <c r="E75" i="4"/>
  <c r="E76" i="4"/>
  <c r="I76" i="4"/>
  <c r="F79" i="4"/>
  <c r="D79" i="4"/>
  <c r="E77" i="4"/>
  <c r="E78" i="4"/>
  <c r="E79" i="4"/>
  <c r="I79" i="4"/>
  <c r="F82" i="4"/>
  <c r="D82" i="4"/>
  <c r="E80" i="4"/>
  <c r="E81" i="4"/>
  <c r="E82" i="4"/>
  <c r="I82" i="4"/>
  <c r="F85" i="4"/>
  <c r="D85" i="4"/>
  <c r="E84" i="4"/>
  <c r="E85" i="4"/>
  <c r="I85" i="4"/>
  <c r="F88" i="4"/>
  <c r="D88" i="4"/>
  <c r="E86" i="4"/>
  <c r="E87" i="4"/>
  <c r="E88" i="4"/>
  <c r="I88" i="4"/>
  <c r="F91" i="4"/>
  <c r="D91" i="4"/>
  <c r="E89" i="4"/>
  <c r="E90" i="4"/>
  <c r="E91" i="4"/>
  <c r="I91" i="4"/>
  <c r="F94" i="4"/>
  <c r="D94" i="4"/>
  <c r="E93" i="4"/>
  <c r="E94" i="4"/>
  <c r="I94" i="4"/>
  <c r="F97" i="4"/>
  <c r="D97" i="4"/>
  <c r="E95" i="4"/>
  <c r="E96" i="4"/>
  <c r="E97" i="4"/>
  <c r="I97" i="4"/>
  <c r="I99" i="4"/>
  <c r="H61" i="4"/>
  <c r="H64" i="4"/>
  <c r="H67" i="4"/>
  <c r="H70" i="4"/>
  <c r="H73" i="4"/>
  <c r="H76" i="4"/>
  <c r="H79" i="4"/>
  <c r="H82" i="4"/>
  <c r="H85" i="4"/>
  <c r="H88" i="4"/>
  <c r="H91" i="4"/>
  <c r="H94" i="4"/>
  <c r="H97" i="4"/>
  <c r="H99" i="4"/>
  <c r="G61" i="4"/>
  <c r="G64" i="4"/>
  <c r="G67" i="4"/>
  <c r="G70" i="4"/>
  <c r="G73" i="4"/>
  <c r="G76" i="4"/>
  <c r="G79" i="4"/>
  <c r="G82" i="4"/>
  <c r="G85" i="4"/>
  <c r="G88" i="4"/>
  <c r="G91" i="4"/>
  <c r="G94" i="4"/>
  <c r="G97" i="4"/>
  <c r="G99" i="4"/>
  <c r="J61" i="4"/>
  <c r="J64" i="4"/>
  <c r="J67" i="4"/>
  <c r="J70" i="4"/>
  <c r="J73" i="4"/>
  <c r="J76" i="4"/>
  <c r="J79" i="4"/>
  <c r="J82" i="4"/>
  <c r="J85" i="4"/>
  <c r="J88" i="4"/>
  <c r="J91" i="4"/>
  <c r="J94" i="4"/>
  <c r="J97" i="4"/>
  <c r="J99" i="4"/>
  <c r="I98" i="4"/>
  <c r="H98" i="4"/>
  <c r="G98" i="4"/>
  <c r="D54" i="4"/>
  <c r="E52" i="4"/>
  <c r="E53" i="4"/>
  <c r="E54" i="4"/>
  <c r="F53" i="4"/>
  <c r="F54" i="4"/>
  <c r="J54" i="4"/>
  <c r="D51" i="4"/>
  <c r="E49" i="4"/>
  <c r="E50" i="4"/>
  <c r="E51" i="4"/>
  <c r="F51" i="4"/>
  <c r="J51" i="4"/>
  <c r="D48" i="4"/>
  <c r="E46" i="4"/>
  <c r="E47" i="4"/>
  <c r="E48" i="4"/>
  <c r="F46" i="4"/>
  <c r="F47" i="4"/>
  <c r="F48" i="4"/>
  <c r="J48" i="4"/>
  <c r="D45" i="4"/>
  <c r="E43" i="4"/>
  <c r="E44" i="4"/>
  <c r="E45" i="4"/>
  <c r="F44" i="4"/>
  <c r="F45" i="4"/>
  <c r="J45" i="4"/>
  <c r="D42" i="4"/>
  <c r="E41" i="4"/>
  <c r="E42" i="4"/>
  <c r="F41" i="4"/>
  <c r="F42" i="4"/>
  <c r="J42" i="4"/>
  <c r="D39" i="4"/>
  <c r="E37" i="4"/>
  <c r="E38" i="4"/>
  <c r="E39" i="4"/>
  <c r="F37" i="4"/>
  <c r="F39" i="4"/>
  <c r="J39" i="4"/>
  <c r="D36" i="4"/>
  <c r="E34" i="4"/>
  <c r="E35" i="4"/>
  <c r="E36" i="4"/>
  <c r="F35" i="4"/>
  <c r="F36" i="4"/>
  <c r="J36" i="4"/>
  <c r="D33" i="4"/>
  <c r="E32" i="4"/>
  <c r="E33" i="4"/>
  <c r="F31" i="4"/>
  <c r="F32" i="4"/>
  <c r="F33" i="4"/>
  <c r="J33" i="4"/>
  <c r="D30" i="4"/>
  <c r="E28" i="4"/>
  <c r="E29" i="4"/>
  <c r="E30" i="4"/>
  <c r="F28" i="4"/>
  <c r="F29" i="4"/>
  <c r="F30" i="4"/>
  <c r="J30" i="4"/>
  <c r="J56" i="4"/>
  <c r="I54" i="4"/>
  <c r="I51" i="4"/>
  <c r="I48" i="4"/>
  <c r="I45" i="4"/>
  <c r="I42" i="4"/>
  <c r="I39" i="4"/>
  <c r="I36" i="4"/>
  <c r="I33" i="4"/>
  <c r="I30" i="4"/>
  <c r="I56" i="4"/>
  <c r="H54" i="4"/>
  <c r="H51" i="4"/>
  <c r="H48" i="4"/>
  <c r="H45" i="4"/>
  <c r="H42" i="4"/>
  <c r="H39" i="4"/>
  <c r="H36" i="4"/>
  <c r="H33" i="4"/>
  <c r="H30" i="4"/>
  <c r="H56" i="4"/>
  <c r="G54" i="4"/>
  <c r="G51" i="4"/>
  <c r="G48" i="4"/>
  <c r="G45" i="4"/>
  <c r="G42" i="4"/>
  <c r="G39" i="4"/>
  <c r="G36" i="4"/>
  <c r="G33" i="4"/>
  <c r="G30" i="4"/>
  <c r="G56" i="4"/>
  <c r="I55" i="4"/>
  <c r="H55" i="4"/>
  <c r="G55" i="4"/>
  <c r="D25" i="4"/>
  <c r="E23" i="4"/>
  <c r="E24" i="4"/>
  <c r="E25" i="4"/>
  <c r="F23" i="4"/>
  <c r="F24" i="4"/>
  <c r="F25" i="4"/>
  <c r="J25" i="4"/>
  <c r="D22" i="4"/>
  <c r="E20" i="4"/>
  <c r="E21" i="4"/>
  <c r="E22" i="4"/>
  <c r="F21" i="4"/>
  <c r="F22" i="4"/>
  <c r="J22" i="4"/>
  <c r="D19" i="4"/>
  <c r="E17" i="4"/>
  <c r="E18" i="4"/>
  <c r="E19" i="4"/>
  <c r="F18" i="4"/>
  <c r="F19" i="4"/>
  <c r="J19" i="4"/>
  <c r="D16" i="4"/>
  <c r="E14" i="4"/>
  <c r="E15" i="4"/>
  <c r="E16" i="4"/>
  <c r="F14" i="4"/>
  <c r="F15" i="4"/>
  <c r="F16" i="4"/>
  <c r="J16" i="4"/>
  <c r="D13" i="4"/>
  <c r="E11" i="4"/>
  <c r="E12" i="4"/>
  <c r="E13" i="4"/>
  <c r="F12" i="4"/>
  <c r="F13" i="4"/>
  <c r="J13" i="4"/>
  <c r="D10" i="4"/>
  <c r="E8" i="4"/>
  <c r="E9" i="4"/>
  <c r="E10" i="4"/>
  <c r="F8" i="4"/>
  <c r="F10" i="4"/>
  <c r="J10" i="4"/>
  <c r="D7" i="4"/>
  <c r="E5" i="4"/>
  <c r="E7" i="4"/>
  <c r="F5" i="4"/>
  <c r="F7" i="4"/>
  <c r="J7" i="4"/>
  <c r="D4" i="4"/>
  <c r="E2" i="4"/>
  <c r="E3" i="4"/>
  <c r="E4" i="4"/>
  <c r="F2" i="4"/>
  <c r="F3" i="4"/>
  <c r="F4" i="4"/>
  <c r="J4" i="4"/>
  <c r="J27" i="4"/>
  <c r="I25" i="4"/>
  <c r="I22" i="4"/>
  <c r="I19" i="4"/>
  <c r="I16" i="4"/>
  <c r="I13" i="4"/>
  <c r="I10" i="4"/>
  <c r="I7" i="4"/>
  <c r="I4" i="4"/>
  <c r="I27" i="4"/>
  <c r="H25" i="4"/>
  <c r="H22" i="4"/>
  <c r="H19" i="4"/>
  <c r="H16" i="4"/>
  <c r="H13" i="4"/>
  <c r="H10" i="4"/>
  <c r="H7" i="4"/>
  <c r="H4" i="4"/>
  <c r="H27" i="4"/>
  <c r="G25" i="4"/>
  <c r="G22" i="4"/>
  <c r="G19" i="4"/>
  <c r="G16" i="4"/>
  <c r="G13" i="4"/>
  <c r="G10" i="4"/>
  <c r="G7" i="4"/>
  <c r="G4" i="4"/>
  <c r="G27" i="4"/>
  <c r="I26" i="4"/>
  <c r="H26" i="4"/>
  <c r="G26" i="4"/>
  <c r="F153" i="3"/>
  <c r="D153" i="3"/>
  <c r="E151" i="3"/>
  <c r="E153" i="3"/>
  <c r="I153" i="3"/>
  <c r="F150" i="3"/>
  <c r="D150" i="3"/>
  <c r="E149" i="3"/>
  <c r="E150" i="3"/>
  <c r="I150" i="3"/>
  <c r="F147" i="3"/>
  <c r="D147" i="3"/>
  <c r="E147" i="3"/>
  <c r="I147" i="3"/>
  <c r="F144" i="3"/>
  <c r="D144" i="3"/>
  <c r="E142" i="3"/>
  <c r="E143" i="3"/>
  <c r="E144" i="3"/>
  <c r="I144" i="3"/>
  <c r="F141" i="3"/>
  <c r="D141" i="3"/>
  <c r="E139" i="3"/>
  <c r="E141" i="3"/>
  <c r="I141" i="3"/>
  <c r="F138" i="3"/>
  <c r="D138" i="3"/>
  <c r="E138" i="3"/>
  <c r="I138" i="3"/>
  <c r="F135" i="3"/>
  <c r="D135" i="3"/>
  <c r="E133" i="3"/>
  <c r="E134" i="3"/>
  <c r="E135" i="3"/>
  <c r="I135" i="3"/>
  <c r="F132" i="3"/>
  <c r="D132" i="3"/>
  <c r="E131" i="3"/>
  <c r="E132" i="3"/>
  <c r="I132" i="3"/>
  <c r="F129" i="3"/>
  <c r="D129" i="3"/>
  <c r="E129" i="3"/>
  <c r="I129" i="3"/>
  <c r="I155" i="3"/>
  <c r="H153" i="3"/>
  <c r="H150" i="3"/>
  <c r="H147" i="3"/>
  <c r="H144" i="3"/>
  <c r="H141" i="3"/>
  <c r="H138" i="3"/>
  <c r="H135" i="3"/>
  <c r="H132" i="3"/>
  <c r="H129" i="3"/>
  <c r="H155" i="3"/>
  <c r="G153" i="3"/>
  <c r="G150" i="3"/>
  <c r="G147" i="3"/>
  <c r="G144" i="3"/>
  <c r="G141" i="3"/>
  <c r="G138" i="3"/>
  <c r="G135" i="3"/>
  <c r="G132" i="3"/>
  <c r="G129" i="3"/>
  <c r="G155" i="3"/>
  <c r="J153" i="3"/>
  <c r="J150" i="3"/>
  <c r="J147" i="3"/>
  <c r="J144" i="3"/>
  <c r="J141" i="3"/>
  <c r="J138" i="3"/>
  <c r="J135" i="3"/>
  <c r="J132" i="3"/>
  <c r="J129" i="3"/>
  <c r="J155" i="3"/>
  <c r="I154" i="3"/>
  <c r="H154" i="3"/>
  <c r="G154" i="3"/>
  <c r="F122" i="3"/>
  <c r="D122" i="3"/>
  <c r="E122" i="3"/>
  <c r="I122" i="3"/>
  <c r="F119" i="3"/>
  <c r="D119" i="3"/>
  <c r="E117" i="3"/>
  <c r="E119" i="3"/>
  <c r="I119" i="3"/>
  <c r="F116" i="3"/>
  <c r="D116" i="3"/>
  <c r="E116" i="3"/>
  <c r="I116" i="3"/>
  <c r="F113" i="3"/>
  <c r="D113" i="3"/>
  <c r="E112" i="3"/>
  <c r="E113" i="3"/>
  <c r="I113" i="3"/>
  <c r="F110" i="3"/>
  <c r="D110" i="3"/>
  <c r="E110" i="3"/>
  <c r="I110" i="3"/>
  <c r="F107" i="3"/>
  <c r="D107" i="3"/>
  <c r="E107" i="3"/>
  <c r="I107" i="3"/>
  <c r="F104" i="3"/>
  <c r="D104" i="3"/>
  <c r="E104" i="3"/>
  <c r="I104" i="3"/>
  <c r="F101" i="3"/>
  <c r="D101" i="3"/>
  <c r="E100" i="3"/>
  <c r="E101" i="3"/>
  <c r="I101" i="3"/>
  <c r="F98" i="3"/>
  <c r="D98" i="3"/>
  <c r="E97" i="3"/>
  <c r="E98" i="3"/>
  <c r="I98" i="3"/>
  <c r="F95" i="3"/>
  <c r="D95" i="3"/>
  <c r="E95" i="3"/>
  <c r="I95" i="3"/>
  <c r="F92" i="3"/>
  <c r="D92" i="3"/>
  <c r="E91" i="3"/>
  <c r="E92" i="3"/>
  <c r="I92" i="3"/>
  <c r="F89" i="3"/>
  <c r="D89" i="3"/>
  <c r="E89" i="3"/>
  <c r="I89" i="3"/>
  <c r="I124" i="3"/>
  <c r="H122" i="3"/>
  <c r="H119" i="3"/>
  <c r="H116" i="3"/>
  <c r="H113" i="3"/>
  <c r="H110" i="3"/>
  <c r="H107" i="3"/>
  <c r="H104" i="3"/>
  <c r="H101" i="3"/>
  <c r="H98" i="3"/>
  <c r="H95" i="3"/>
  <c r="H92" i="3"/>
  <c r="H89" i="3"/>
  <c r="H124" i="3"/>
  <c r="G122" i="3"/>
  <c r="G119" i="3"/>
  <c r="G116" i="3"/>
  <c r="G113" i="3"/>
  <c r="G110" i="3"/>
  <c r="G107" i="3"/>
  <c r="G104" i="3"/>
  <c r="G101" i="3"/>
  <c r="G98" i="3"/>
  <c r="G95" i="3"/>
  <c r="G92" i="3"/>
  <c r="G89" i="3"/>
  <c r="G124" i="3"/>
  <c r="J122" i="3"/>
  <c r="J119" i="3"/>
  <c r="J116" i="3"/>
  <c r="J113" i="3"/>
  <c r="J110" i="3"/>
  <c r="J107" i="3"/>
  <c r="J104" i="3"/>
  <c r="J101" i="3"/>
  <c r="J98" i="3"/>
  <c r="J95" i="3"/>
  <c r="J92" i="3"/>
  <c r="J89" i="3"/>
  <c r="J124" i="3"/>
  <c r="I123" i="3"/>
  <c r="H123" i="3"/>
  <c r="G123" i="3"/>
  <c r="F83" i="3"/>
  <c r="D83" i="3"/>
  <c r="E83" i="3"/>
  <c r="I83" i="3"/>
  <c r="F80" i="3"/>
  <c r="D80" i="3"/>
  <c r="E80" i="3"/>
  <c r="I80" i="3"/>
  <c r="F76" i="3"/>
  <c r="D76" i="3"/>
  <c r="E76" i="3"/>
  <c r="I76" i="3"/>
  <c r="F73" i="3"/>
  <c r="D73" i="3"/>
  <c r="E73" i="3"/>
  <c r="I73" i="3"/>
  <c r="I70" i="3"/>
  <c r="I69" i="3"/>
  <c r="I68" i="3"/>
  <c r="F67" i="3"/>
  <c r="D67" i="3"/>
  <c r="E67" i="3"/>
  <c r="I67" i="3"/>
  <c r="F64" i="3"/>
  <c r="D64" i="3"/>
  <c r="E64" i="3"/>
  <c r="I64" i="3"/>
  <c r="F61" i="3"/>
  <c r="D61" i="3"/>
  <c r="E61" i="3"/>
  <c r="I61" i="3"/>
  <c r="F58" i="3"/>
  <c r="D58" i="3"/>
  <c r="E58" i="3"/>
  <c r="I58" i="3"/>
  <c r="I54" i="3"/>
  <c r="F53" i="3"/>
  <c r="D53" i="3"/>
  <c r="E53" i="3"/>
  <c r="I53" i="3"/>
  <c r="F50" i="3"/>
  <c r="D50" i="3"/>
  <c r="E50" i="3"/>
  <c r="I50" i="3"/>
  <c r="I47" i="3"/>
  <c r="F46" i="3"/>
  <c r="D46" i="3"/>
  <c r="E46" i="3"/>
  <c r="I46" i="3"/>
  <c r="F43" i="3"/>
  <c r="D43" i="3"/>
  <c r="E43" i="3"/>
  <c r="I43" i="3"/>
  <c r="F39" i="3"/>
  <c r="D39" i="3"/>
  <c r="E39" i="3"/>
  <c r="I39" i="3"/>
  <c r="F36" i="3"/>
  <c r="D36" i="3"/>
  <c r="E36" i="3"/>
  <c r="I36" i="3"/>
  <c r="F31" i="3"/>
  <c r="D31" i="3"/>
  <c r="E31" i="3"/>
  <c r="I31" i="3"/>
  <c r="F28" i="3"/>
  <c r="D28" i="3"/>
  <c r="E28" i="3"/>
  <c r="I28" i="3"/>
  <c r="I85" i="3"/>
  <c r="H83" i="3"/>
  <c r="H80" i="3"/>
  <c r="H76" i="3"/>
  <c r="H73" i="3"/>
  <c r="H70" i="3"/>
  <c r="H69" i="3"/>
  <c r="H68" i="3"/>
  <c r="H67" i="3"/>
  <c r="H64" i="3"/>
  <c r="H61" i="3"/>
  <c r="H58" i="3"/>
  <c r="H54" i="3"/>
  <c r="H53" i="3"/>
  <c r="H50" i="3"/>
  <c r="H47" i="3"/>
  <c r="H46" i="3"/>
  <c r="H43" i="3"/>
  <c r="H39" i="3"/>
  <c r="H36" i="3"/>
  <c r="H31" i="3"/>
  <c r="H28" i="3"/>
  <c r="H85" i="3"/>
  <c r="G83" i="3"/>
  <c r="G80" i="3"/>
  <c r="G76" i="3"/>
  <c r="G73" i="3"/>
  <c r="G70" i="3"/>
  <c r="G69" i="3"/>
  <c r="G68" i="3"/>
  <c r="G67" i="3"/>
  <c r="G64" i="3"/>
  <c r="G61" i="3"/>
  <c r="G58" i="3"/>
  <c r="G54" i="3"/>
  <c r="G53" i="3"/>
  <c r="G50" i="3"/>
  <c r="G47" i="3"/>
  <c r="G46" i="3"/>
  <c r="G43" i="3"/>
  <c r="G39" i="3"/>
  <c r="G36" i="3"/>
  <c r="G31" i="3"/>
  <c r="G28" i="3"/>
  <c r="G85" i="3"/>
  <c r="J83" i="3"/>
  <c r="J80" i="3"/>
  <c r="J76" i="3"/>
  <c r="J73" i="3"/>
  <c r="J70" i="3"/>
  <c r="J69" i="3"/>
  <c r="J68" i="3"/>
  <c r="J67" i="3"/>
  <c r="J64" i="3"/>
  <c r="J61" i="3"/>
  <c r="J58" i="3"/>
  <c r="J54" i="3"/>
  <c r="J53" i="3"/>
  <c r="J50" i="3"/>
  <c r="J47" i="3"/>
  <c r="J46" i="3"/>
  <c r="J43" i="3"/>
  <c r="J39" i="3"/>
  <c r="J36" i="3"/>
  <c r="J31" i="3"/>
  <c r="J28" i="3"/>
  <c r="J85" i="3"/>
  <c r="I84" i="3"/>
  <c r="H84" i="3"/>
  <c r="G84" i="3"/>
  <c r="F4" i="3"/>
  <c r="D4" i="3"/>
  <c r="E2" i="3"/>
  <c r="E4" i="3"/>
  <c r="I4" i="3"/>
  <c r="F7" i="3"/>
  <c r="D7" i="3"/>
  <c r="E7" i="3"/>
  <c r="I7" i="3"/>
  <c r="F10" i="3"/>
  <c r="D10" i="3"/>
  <c r="E10" i="3"/>
  <c r="I10" i="3"/>
  <c r="F13" i="3"/>
  <c r="D13" i="3"/>
  <c r="E11" i="3"/>
  <c r="E13" i="3"/>
  <c r="I13" i="3"/>
  <c r="F16" i="3"/>
  <c r="D16" i="3"/>
  <c r="E14" i="3"/>
  <c r="E15" i="3"/>
  <c r="E16" i="3"/>
  <c r="I16" i="3"/>
  <c r="F19" i="3"/>
  <c r="D19" i="3"/>
  <c r="E17" i="3"/>
  <c r="E18" i="3"/>
  <c r="E19" i="3"/>
  <c r="I19" i="3"/>
  <c r="F22" i="3"/>
  <c r="D22" i="3"/>
  <c r="E20" i="3"/>
  <c r="E21" i="3"/>
  <c r="E22" i="3"/>
  <c r="I22" i="3"/>
  <c r="I24" i="3"/>
  <c r="H4" i="3"/>
  <c r="H7" i="3"/>
  <c r="H10" i="3"/>
  <c r="H13" i="3"/>
  <c r="H16" i="3"/>
  <c r="H19" i="3"/>
  <c r="H22" i="3"/>
  <c r="H24" i="3"/>
  <c r="G4" i="3"/>
  <c r="G7" i="3"/>
  <c r="G10" i="3"/>
  <c r="G13" i="3"/>
  <c r="G16" i="3"/>
  <c r="G19" i="3"/>
  <c r="G22" i="3"/>
  <c r="G24" i="3"/>
  <c r="J4" i="3"/>
  <c r="J7" i="3"/>
  <c r="J10" i="3"/>
  <c r="J13" i="3"/>
  <c r="J16" i="3"/>
  <c r="J19" i="3"/>
  <c r="J22" i="3"/>
  <c r="J24" i="3"/>
  <c r="I23" i="3"/>
  <c r="H23" i="3"/>
  <c r="G23" i="3"/>
  <c r="F106" i="1"/>
  <c r="E107" i="1"/>
  <c r="F107" i="1"/>
  <c r="G107" i="1"/>
  <c r="K107" i="1"/>
  <c r="H107" i="1"/>
  <c r="I107" i="1"/>
  <c r="J107" i="1"/>
  <c r="K108" i="1"/>
  <c r="H108" i="1"/>
  <c r="I108" i="1"/>
  <c r="J108" i="1"/>
  <c r="F109" i="1"/>
  <c r="E112" i="1"/>
  <c r="F112" i="1"/>
  <c r="G112" i="1"/>
  <c r="K112" i="1"/>
  <c r="H112" i="1"/>
  <c r="I112" i="1"/>
  <c r="J112" i="1"/>
  <c r="E116" i="1"/>
  <c r="F116" i="1"/>
  <c r="G116" i="1"/>
  <c r="K116" i="1"/>
  <c r="H116" i="1"/>
  <c r="I116" i="1"/>
  <c r="J116" i="1"/>
  <c r="E119" i="1"/>
  <c r="F119" i="1"/>
  <c r="G119" i="1"/>
  <c r="K119" i="1"/>
  <c r="H119" i="1"/>
  <c r="I119" i="1"/>
  <c r="J119" i="1"/>
  <c r="E122" i="1"/>
  <c r="F122" i="1"/>
  <c r="G122" i="1"/>
  <c r="K122" i="1"/>
  <c r="H122" i="1"/>
  <c r="I122" i="1"/>
  <c r="J122" i="1"/>
  <c r="H123" i="1"/>
  <c r="I123" i="1"/>
  <c r="J123" i="1"/>
  <c r="H124" i="1"/>
  <c r="I124" i="1"/>
  <c r="J124" i="1"/>
  <c r="K124" i="1"/>
  <c r="G100" i="1"/>
  <c r="E100" i="1"/>
  <c r="F100" i="1"/>
  <c r="K100" i="1"/>
  <c r="J100" i="1"/>
  <c r="G97" i="1"/>
  <c r="E97" i="1"/>
  <c r="F97" i="1"/>
  <c r="K97" i="1"/>
  <c r="J97" i="1"/>
  <c r="G94" i="1"/>
  <c r="E94" i="1"/>
  <c r="F94" i="1"/>
  <c r="K94" i="1"/>
  <c r="J94" i="1"/>
  <c r="G91" i="1"/>
  <c r="E91" i="1"/>
  <c r="F91" i="1"/>
  <c r="K91" i="1"/>
  <c r="J91" i="1"/>
  <c r="G88" i="1"/>
  <c r="E88" i="1"/>
  <c r="F88" i="1"/>
  <c r="K88" i="1"/>
  <c r="J88" i="1"/>
  <c r="G85" i="1"/>
  <c r="E85" i="1"/>
  <c r="F85" i="1"/>
  <c r="K85" i="1"/>
  <c r="J85" i="1"/>
  <c r="G82" i="1"/>
  <c r="E82" i="1"/>
  <c r="F82" i="1"/>
  <c r="K82" i="1"/>
  <c r="J82" i="1"/>
  <c r="J102" i="1"/>
  <c r="I100" i="1"/>
  <c r="I97" i="1"/>
  <c r="I94" i="1"/>
  <c r="I91" i="1"/>
  <c r="I88" i="1"/>
  <c r="I85" i="1"/>
  <c r="I82" i="1"/>
  <c r="I102" i="1"/>
  <c r="H100" i="1"/>
  <c r="H97" i="1"/>
  <c r="H94" i="1"/>
  <c r="H91" i="1"/>
  <c r="H88" i="1"/>
  <c r="H85" i="1"/>
  <c r="H82" i="1"/>
  <c r="H102" i="1"/>
  <c r="J101" i="1"/>
  <c r="I101" i="1"/>
  <c r="H101" i="1"/>
  <c r="K102" i="1"/>
  <c r="F60" i="1"/>
  <c r="K60" i="1"/>
  <c r="J60" i="1"/>
  <c r="F61" i="1"/>
  <c r="K61" i="1"/>
  <c r="J61" i="1"/>
  <c r="F62" i="1"/>
  <c r="K62" i="1"/>
  <c r="J62" i="1"/>
  <c r="K63" i="1"/>
  <c r="J63" i="1"/>
  <c r="K64" i="1"/>
  <c r="J64" i="1"/>
  <c r="K65" i="1"/>
  <c r="J65" i="1"/>
  <c r="K66" i="1"/>
  <c r="J66" i="1"/>
  <c r="K67" i="1"/>
  <c r="J67" i="1"/>
  <c r="K68" i="1"/>
  <c r="J68" i="1"/>
  <c r="K69" i="1"/>
  <c r="J69" i="1"/>
  <c r="K70" i="1"/>
  <c r="J70" i="1"/>
  <c r="K71" i="1"/>
  <c r="J71" i="1"/>
  <c r="K72" i="1"/>
  <c r="J72" i="1"/>
  <c r="K73" i="1"/>
  <c r="J73" i="1"/>
  <c r="K74" i="1"/>
  <c r="J74" i="1"/>
  <c r="K75" i="1"/>
  <c r="J75" i="1"/>
  <c r="F76" i="1"/>
  <c r="K76" i="1"/>
  <c r="J76" i="1"/>
  <c r="J78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8" i="1"/>
  <c r="J77" i="1"/>
  <c r="I77" i="1"/>
  <c r="H77" i="1"/>
  <c r="K78" i="1"/>
  <c r="F41" i="1"/>
  <c r="F42" i="1"/>
  <c r="F43" i="1"/>
  <c r="K43" i="1"/>
  <c r="J43" i="1"/>
  <c r="K46" i="1"/>
  <c r="J46" i="1"/>
  <c r="G49" i="1"/>
  <c r="F49" i="1"/>
  <c r="K49" i="1"/>
  <c r="J49" i="1"/>
  <c r="G52" i="1"/>
  <c r="F50" i="1"/>
  <c r="F51" i="1"/>
  <c r="F52" i="1"/>
  <c r="K52" i="1"/>
  <c r="J52" i="1"/>
  <c r="F53" i="1"/>
  <c r="K53" i="1"/>
  <c r="J53" i="1"/>
  <c r="J55" i="1"/>
  <c r="I43" i="1"/>
  <c r="I46" i="1"/>
  <c r="I49" i="1"/>
  <c r="I52" i="1"/>
  <c r="I53" i="1"/>
  <c r="I55" i="1"/>
  <c r="H43" i="1"/>
  <c r="H46" i="1"/>
  <c r="H49" i="1"/>
  <c r="H52" i="1"/>
  <c r="H53" i="1"/>
  <c r="H55" i="1"/>
  <c r="J54" i="1"/>
  <c r="I54" i="1"/>
  <c r="H54" i="1"/>
  <c r="K55" i="1"/>
  <c r="F23" i="1"/>
  <c r="K23" i="1"/>
  <c r="J23" i="1"/>
  <c r="F24" i="1"/>
  <c r="K24" i="1"/>
  <c r="J24" i="1"/>
  <c r="F25" i="1"/>
  <c r="K25" i="1"/>
  <c r="J25" i="1"/>
  <c r="F26" i="1"/>
  <c r="K26" i="1"/>
  <c r="J26" i="1"/>
  <c r="F27" i="1"/>
  <c r="K27" i="1"/>
  <c r="J27" i="1"/>
  <c r="F28" i="1"/>
  <c r="K28" i="1"/>
  <c r="J28" i="1"/>
  <c r="F29" i="1"/>
  <c r="K29" i="1"/>
  <c r="J29" i="1"/>
  <c r="F30" i="1"/>
  <c r="K30" i="1"/>
  <c r="J30" i="1"/>
  <c r="F31" i="1"/>
  <c r="K31" i="1"/>
  <c r="J31" i="1"/>
  <c r="F32" i="1"/>
  <c r="K32" i="1"/>
  <c r="J32" i="1"/>
  <c r="F33" i="1"/>
  <c r="K33" i="1"/>
  <c r="J33" i="1"/>
  <c r="F34" i="1"/>
  <c r="K34" i="1"/>
  <c r="J34" i="1"/>
  <c r="F35" i="1"/>
  <c r="K35" i="1"/>
  <c r="J35" i="1"/>
  <c r="F36" i="1"/>
  <c r="K36" i="1"/>
  <c r="J36" i="1"/>
  <c r="F22" i="1"/>
  <c r="K22" i="1"/>
  <c r="J22" i="1"/>
  <c r="J38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22" i="1"/>
  <c r="I38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8" i="1"/>
  <c r="J37" i="1"/>
  <c r="I37" i="1"/>
  <c r="H37" i="1"/>
  <c r="K38" i="1"/>
  <c r="G4" i="1"/>
  <c r="F2" i="1"/>
  <c r="F3" i="1"/>
  <c r="F4" i="1"/>
  <c r="K4" i="1"/>
  <c r="J4" i="1"/>
  <c r="G5" i="1"/>
  <c r="F5" i="1"/>
  <c r="K5" i="1"/>
  <c r="J5" i="1"/>
  <c r="G8" i="1"/>
  <c r="E8" i="1"/>
  <c r="F6" i="1"/>
  <c r="F7" i="1"/>
  <c r="F8" i="1"/>
  <c r="K8" i="1"/>
  <c r="J8" i="1"/>
  <c r="G11" i="1"/>
  <c r="F9" i="1"/>
  <c r="F10" i="1"/>
  <c r="F11" i="1"/>
  <c r="K11" i="1"/>
  <c r="J11" i="1"/>
  <c r="F12" i="1"/>
  <c r="K12" i="1"/>
  <c r="J12" i="1"/>
  <c r="G15" i="1"/>
  <c r="E15" i="1"/>
  <c r="F13" i="1"/>
  <c r="F14" i="1"/>
  <c r="F15" i="1"/>
  <c r="K15" i="1"/>
  <c r="J15" i="1"/>
  <c r="J17" i="1"/>
  <c r="I4" i="1"/>
  <c r="I5" i="1"/>
  <c r="I8" i="1"/>
  <c r="I11" i="1"/>
  <c r="I12" i="1"/>
  <c r="I15" i="1"/>
  <c r="I17" i="1"/>
  <c r="H4" i="1"/>
  <c r="H5" i="1"/>
  <c r="H8" i="1"/>
  <c r="H11" i="1"/>
  <c r="H12" i="1"/>
  <c r="H15" i="1"/>
  <c r="H17" i="1"/>
  <c r="J16" i="1"/>
  <c r="I16" i="1"/>
  <c r="H16" i="1"/>
  <c r="K17" i="1"/>
  <c r="I82" i="5" l="1"/>
  <c r="E97" i="5"/>
  <c r="J82" i="5"/>
  <c r="G10" i="5"/>
  <c r="H4" i="5"/>
  <c r="H72" i="5"/>
  <c r="E52" i="5"/>
  <c r="I40" i="5"/>
  <c r="E88" i="5"/>
  <c r="J88" i="5" s="1"/>
  <c r="G19" i="5"/>
  <c r="J4" i="5"/>
  <c r="G69" i="5"/>
  <c r="J25" i="5"/>
  <c r="H13" i="5"/>
  <c r="E75" i="5"/>
  <c r="G22" i="5"/>
  <c r="J16" i="5"/>
  <c r="I60" i="5"/>
  <c r="I43" i="5"/>
  <c r="G43" i="5"/>
  <c r="H88" i="5"/>
  <c r="J75" i="5"/>
  <c r="H75" i="5"/>
  <c r="J52" i="5"/>
  <c r="H52" i="5"/>
  <c r="J97" i="5"/>
  <c r="H97" i="5"/>
  <c r="H25" i="5"/>
  <c r="I25" i="5"/>
  <c r="I22" i="5"/>
  <c r="I19" i="5"/>
  <c r="G16" i="5"/>
  <c r="G13" i="5"/>
  <c r="H10" i="5"/>
  <c r="G46" i="5"/>
  <c r="J72" i="5"/>
  <c r="I69" i="5"/>
  <c r="I63" i="5"/>
  <c r="J60" i="5"/>
  <c r="J94" i="5"/>
  <c r="E85" i="5"/>
  <c r="J85" i="5" s="1"/>
  <c r="H16" i="5"/>
  <c r="E28" i="5"/>
  <c r="I28" i="5" s="1"/>
  <c r="G25" i="5"/>
  <c r="H22" i="5"/>
  <c r="H19" i="5"/>
  <c r="I16" i="5"/>
  <c r="I13" i="5"/>
  <c r="G4" i="5"/>
  <c r="H40" i="5"/>
  <c r="J49" i="5"/>
  <c r="J37" i="5"/>
  <c r="H63" i="5"/>
  <c r="I97" i="5"/>
  <c r="I91" i="5"/>
  <c r="I4" i="5"/>
  <c r="I52" i="5"/>
  <c r="J40" i="5"/>
  <c r="I75" i="5"/>
  <c r="J91" i="5"/>
  <c r="H85" i="5"/>
  <c r="H7" i="5"/>
  <c r="G7" i="5"/>
  <c r="H46" i="5"/>
  <c r="J46" i="5"/>
  <c r="H28" i="5"/>
  <c r="G28" i="5"/>
  <c r="H66" i="5"/>
  <c r="J66" i="5"/>
  <c r="G66" i="5"/>
  <c r="J7" i="5"/>
  <c r="I66" i="5"/>
  <c r="I10" i="5"/>
  <c r="J22" i="5"/>
  <c r="J10" i="5"/>
  <c r="I7" i="5"/>
  <c r="J43" i="5"/>
  <c r="G52" i="5"/>
  <c r="G40" i="5"/>
  <c r="H49" i="5"/>
  <c r="H37" i="5"/>
  <c r="I49" i="5"/>
  <c r="I37" i="5"/>
  <c r="G75" i="5"/>
  <c r="G63" i="5"/>
  <c r="H60" i="5"/>
  <c r="I72" i="5"/>
  <c r="G97" i="5"/>
  <c r="H94" i="5"/>
  <c r="H82" i="5"/>
  <c r="I94" i="5"/>
  <c r="J19" i="5"/>
  <c r="G49" i="5"/>
  <c r="G37" i="5"/>
  <c r="I46" i="5"/>
  <c r="J63" i="5"/>
  <c r="G72" i="5"/>
  <c r="G60" i="5"/>
  <c r="H69" i="5"/>
  <c r="G94" i="5"/>
  <c r="G82" i="5"/>
  <c r="H91" i="5"/>
  <c r="H43" i="5"/>
  <c r="J28" i="5" l="1"/>
  <c r="I88" i="5"/>
  <c r="G88" i="5"/>
  <c r="J77" i="5"/>
  <c r="J99" i="5"/>
  <c r="J54" i="5"/>
  <c r="I30" i="5"/>
  <c r="G85" i="5"/>
  <c r="I77" i="5"/>
  <c r="H30" i="5"/>
  <c r="G29" i="5"/>
  <c r="I85" i="5"/>
  <c r="J30" i="5"/>
  <c r="H54" i="5"/>
  <c r="H53" i="5"/>
  <c r="I29" i="5"/>
  <c r="H29" i="5"/>
  <c r="I76" i="5"/>
  <c r="G53" i="5"/>
  <c r="G54" i="5"/>
  <c r="H99" i="5"/>
  <c r="H98" i="5"/>
  <c r="I54" i="5"/>
  <c r="I53" i="5"/>
  <c r="G30" i="5"/>
  <c r="G76" i="5"/>
  <c r="G77" i="5"/>
  <c r="H77" i="5"/>
  <c r="H76" i="5"/>
  <c r="G98" i="5" l="1"/>
  <c r="I99" i="5"/>
  <c r="G99" i="5"/>
  <c r="I98" i="5"/>
</calcChain>
</file>

<file path=xl/sharedStrings.xml><?xml version="1.0" encoding="utf-8"?>
<sst xmlns="http://schemas.openxmlformats.org/spreadsheetml/2006/main" count="3147" uniqueCount="884">
  <si>
    <t>Date of sample/sample name</t>
  </si>
  <si>
    <t>Sample #</t>
  </si>
  <si>
    <t>180111_ywkev_3larv_SNP+IGSc_fat1</t>
  </si>
  <si>
    <t>larval brain</t>
  </si>
  <si>
    <t>170112_ywkev_SNPFISH_3larv_slide1_male1_Image005</t>
  </si>
  <si>
    <t>170112_ywkev_SNPFISH_3larv_slide1_male1_Image010</t>
  </si>
  <si>
    <t>170112_ywkev_SNPFISH_3larv_slide1_male1 combined</t>
  </si>
  <si>
    <t>170112_ywkev_SNPFISH_3larv_slide1_male5</t>
  </si>
  <si>
    <t>170307_ywkev_SNP_larv_male_gut_Image003</t>
  </si>
  <si>
    <t>170307_ywkev_SNP_larv_male_gut_Image005</t>
  </si>
  <si>
    <t>170307_ywkev_SNP_larv_male_gut_Image007</t>
  </si>
  <si>
    <t>170307_ywkev_SNP_larv_male_gut combined</t>
  </si>
  <si>
    <t>170307_ywkev_SNP_larv_male_gut2_Image003</t>
  </si>
  <si>
    <t>170307_ywkev_SNP_larv_male_gut2_Image005</t>
  </si>
  <si>
    <t>170307_ywkev_SNP_larv_male_gut2_Image007</t>
  </si>
  <si>
    <t>170307_ywkev_SNP_larv_male_gut2 combined</t>
  </si>
  <si>
    <t>180111_ywkev_3larv_SNP+IGSc_gut1_Image001</t>
  </si>
  <si>
    <t>180111_ywkev_3larv_SNP+IGSc_gut1_Image002</t>
  </si>
  <si>
    <t>180111_ywkev_3larv_SNP+IGSc_gut1 combined</t>
  </si>
  <si>
    <t>180111_ywkev_3larv_SNP+IGSc_gut2_Image001</t>
  </si>
  <si>
    <t>180111_ywkev_3larv_SNP+IGSc_gut2_Image002</t>
  </si>
  <si>
    <t>180111_ywkev_3larv_SNP+IGSc_gut2 combined</t>
  </si>
  <si>
    <t>Average</t>
  </si>
  <si>
    <t>n = 6</t>
  </si>
  <si>
    <t>salivary gland</t>
  </si>
  <si>
    <t>Tissue</t>
  </si>
  <si>
    <t>Genotype</t>
  </si>
  <si>
    <t>190109_C1RM_Ysnp_adult_gut1_Series001</t>
  </si>
  <si>
    <t>190109_C1RM_Ysnp_adult_gut1_Series002</t>
  </si>
  <si>
    <t>190109_C1RM_Ysnp_adult_gut1_combined</t>
  </si>
  <si>
    <t>190109_C1RM_Ysnp_adult_gut2_Series001</t>
  </si>
  <si>
    <t>190109_C1RM_Ysnp_adult_gut2_Series002</t>
  </si>
  <si>
    <t>190109_C1RM_Ysnp_adult_gut2_combined</t>
  </si>
  <si>
    <t>190109_C1RM_Ysnp_adult_gut3_Series001</t>
  </si>
  <si>
    <t>190109_C1RM_Ysnp_adult_gut3_Series002</t>
  </si>
  <si>
    <t>190109_C1RM_Ysnp_adult_gut3_combined</t>
  </si>
  <si>
    <t>190109_C1RM_Ysnp_adult_gut4_Series001</t>
  </si>
  <si>
    <t>190109_C1RM_Ysnp_adult_gut4_Series002</t>
  </si>
  <si>
    <t>190109_C1RM_Ysnp_adult_gut4_combined</t>
  </si>
  <si>
    <t>190109_C1RM_Ysnp_adult_gut5_Series001</t>
  </si>
  <si>
    <t>190109_C1RM_Ysnp_adult_gut5_Series002</t>
  </si>
  <si>
    <t>190109_C1RM_Ysnp_adult_gut5_combined</t>
  </si>
  <si>
    <t>190109_C1RM_Ysnp_adult_gut6_Series001</t>
  </si>
  <si>
    <t>190109_C1RM_Ysnp_adult_gut6_Series002</t>
  </si>
  <si>
    <t>190109_C1RM_Ysnp_adult_gut6_combined</t>
  </si>
  <si>
    <t>190109_C1RM_Ysnp_adult_gut7_Series001</t>
  </si>
  <si>
    <t>190109_C1RM_Ysnp_adult_gut7_Series002</t>
  </si>
  <si>
    <t>190109_C1RM_Ysnp_adult_gut7_combined</t>
  </si>
  <si>
    <t>190109_C1RM-Ysnp_adult_Germ1_Series001</t>
  </si>
  <si>
    <t>female GSC</t>
  </si>
  <si>
    <t>190109_C1RM-Ysnp_adult_Germ1_Series002</t>
  </si>
  <si>
    <t>190109_C1RM-Ysnp_adult_Germ1_combined</t>
  </si>
  <si>
    <t>190109_C1RM-Ysnp_adult_Germ2_Image001</t>
  </si>
  <si>
    <t>190109_C1RM-Ysnp_adult_Germ2_Image002</t>
  </si>
  <si>
    <t>190109_C1RM-Ysnp_adult_Germ2_combined</t>
  </si>
  <si>
    <t>190109_C1RM-Ysnp_adult_Germ3_Image001</t>
  </si>
  <si>
    <t>190109_C1RM-Ysnp_adult_Germ3_Image002</t>
  </si>
  <si>
    <t>190109_C1RM-Ysnp_adult_Germ3_Image003</t>
  </si>
  <si>
    <t>190109_C1RM-Ysnp_adult_Germ3_Series004</t>
  </si>
  <si>
    <t>190109_C1RM-Ysnp_adult_Germ3_combined</t>
  </si>
  <si>
    <t>190109_C1RM-Ysnp_adult_Germ4_Series001</t>
  </si>
  <si>
    <t>190109_C1RM-Ysnp_adult_Germ4_Series002</t>
  </si>
  <si>
    <t>190109_C1RM-Ysnp_adult_Germ4_combined</t>
  </si>
  <si>
    <t>190109_C1RM-Ysnp_adult_Germ5_Image003</t>
  </si>
  <si>
    <t>190109_C1RM-Ysnp_adult_Germ5_Series001</t>
  </si>
  <si>
    <t>190109_C1RM-Ysnp_adult_Germ5_Series002</t>
  </si>
  <si>
    <t>190109_C1RM-Ysnp_adult_Germ5_combined</t>
  </si>
  <si>
    <t>190109_C1RM-Ysnp_adult_Germ6_Series001</t>
  </si>
  <si>
    <t>190109_C1RM-Ysnp_adult_Germ6_Series002</t>
  </si>
  <si>
    <t>190109_C1RM-Ysnp_adult_Germ6_combined</t>
  </si>
  <si>
    <t>190109_C1RM-Ysnp_adult_Germ7_Series001</t>
  </si>
  <si>
    <t>190109_C1RM-Ysnp_adult_Germ8_Series001</t>
  </si>
  <si>
    <t>190109_C1RM-Ysnp_adult_Germ8_Series002</t>
  </si>
  <si>
    <t>190109_C1RM-Ysnp_adult_Germ8_combined</t>
  </si>
  <si>
    <t>190109_C1RM-Ysnp_adult_Germ9_Series001</t>
  </si>
  <si>
    <t>190109_C1RM-Ysnp_adult_Germ9_Series002</t>
  </si>
  <si>
    <t>190109_C1RM-Ysnp_adult_Germ9_combined</t>
  </si>
  <si>
    <t>190109_C1RM-Ysnp_adult_Germ10_Series001</t>
  </si>
  <si>
    <t>190109_C1RM-Ysnp_adult_Germ11_Image001</t>
  </si>
  <si>
    <t>190109_C1RM-Ysnp_adult_Germ11_Image002</t>
  </si>
  <si>
    <t>190109_C1RM-Ysnp_adult_Germ11_Series003</t>
  </si>
  <si>
    <t>190109_C1RM-Ysnp_adult_Germ11_combined</t>
  </si>
  <si>
    <t>190109_C1RM-Ysnp_adult_Germ12_Series001</t>
  </si>
  <si>
    <t>190109_C1RM-Ysnp_adult_Germ12_Series002</t>
  </si>
  <si>
    <t>190109_C1RM-Ysnp_adult_Germ12_combined</t>
  </si>
  <si>
    <t>190109_C1RM-Ysnp_adult_Germ13_Series001</t>
  </si>
  <si>
    <t>190109_C1RM-Ysnp_adult_Germ13_Image002</t>
  </si>
  <si>
    <t>190109_C1RM-Ysnp_adult_Germ13_combined</t>
  </si>
  <si>
    <t>190109_C1RM-Ysnp_adult_Germ14_Series003</t>
  </si>
  <si>
    <t>190109_C1RM-Ysnp_adult_Germ14_Series004</t>
  </si>
  <si>
    <t>190109_C1RM-Ysnp_adult_Germ14_combined</t>
  </si>
  <si>
    <t>190109_C1RM-Ysnp_adult_Germ15_Series002</t>
  </si>
  <si>
    <t>190109_C1RM-Ysnp_adult_Germ16_Series001</t>
  </si>
  <si>
    <t>190109_C1RM-Ysnp_adult_Germ17_Series001</t>
  </si>
  <si>
    <t>190109_C1RM-Ysnp_adult_Germ18_Series001</t>
  </si>
  <si>
    <t>190109_C1RM-Ysnp_adult_Germ18_Series002</t>
  </si>
  <si>
    <t>190109_C1RM-Ysnp_adult_Germ18_combined</t>
  </si>
  <si>
    <t>190109_C1RM-Ysnp_adult_Germ19_Series001</t>
  </si>
  <si>
    <t>190109_C1RM-Ysnp_adult_Germ19_Series002</t>
  </si>
  <si>
    <t>190109_C1RM-Ysnp_adult_Germ19_combined</t>
  </si>
  <si>
    <t>190109_C1RM-Ysnp_adult_Germ20_Series001</t>
  </si>
  <si>
    <t>190109_C1RM-Ysnp_adult_Germ20_Image002</t>
  </si>
  <si>
    <t>190109_C1RM-Ysnp_adult_Germ20_Image003</t>
  </si>
  <si>
    <t>190109_C1RM-Ysnp_adult_Germ20_combined</t>
  </si>
  <si>
    <t>190109_C1RM-Ysnp_adult_Germ21_Series001</t>
  </si>
  <si>
    <t>190109_C1RM-Ysnp_adult_Germ21_Series002</t>
  </si>
  <si>
    <t>190109_C1RM-Ysnp_adult_Germ21_combined</t>
  </si>
  <si>
    <t>190205_C1RM-Ysnp_larv_fem_disc1_Image001</t>
  </si>
  <si>
    <t>190205_C1RM-Ysnp_larv_fem_disc1_Image002</t>
  </si>
  <si>
    <t>190205_C1RM-Ysnp_larv_fem_disc1_combined</t>
  </si>
  <si>
    <t>190205_C1RM-Ysnp_larv_fem_disc2_Image001</t>
  </si>
  <si>
    <t>190205_C1RM-Ysnp_larv_fem_disc2_Image002</t>
  </si>
  <si>
    <t>190205_C1RM-Ysnp_larv_fem_disc2_combined</t>
  </si>
  <si>
    <t>190205_C1RM-Ysnp_larv_fem_disc3_Image001</t>
  </si>
  <si>
    <t>190205_C1RM-Ysnp_larv_fem_disc3_Image002</t>
  </si>
  <si>
    <t>190205_C1RM-Ysnp_larv_fem_disc3_combined</t>
  </si>
  <si>
    <t>190205_C1RM-Ysnp_larv_fem_disc4_Image001</t>
  </si>
  <si>
    <t>190205_C1RM-Ysnp_larv_fem_disc4_Image003</t>
  </si>
  <si>
    <t>190205_C1RM-Ysnp_larv_fem_disc4_combined</t>
  </si>
  <si>
    <t>190205_C1RM-Ysnp_larv_fem_disc5_Image001</t>
  </si>
  <si>
    <t>190205_C1RM-Ysnp_larv_fem_disc5_Image002</t>
  </si>
  <si>
    <t>190205_C1RM-Ysnp_larv_fem_disc5_combined</t>
  </si>
  <si>
    <t>190205_C1RM-Ysnp_larv_fem_disc6_Image001</t>
  </si>
  <si>
    <t>190205_C1RM-Ysnp_larv_fem_disc6_Image002</t>
  </si>
  <si>
    <t>190205_C1RM-Ysnp_larv_fem_disc6_combined</t>
  </si>
  <si>
    <t>190205_C1RM-Ysnp_larv_fem_disc7_Image001</t>
  </si>
  <si>
    <t>190205_C1RM-Ysnp_larv_fem_disc7_Image002</t>
  </si>
  <si>
    <t>190205_C1RM-Ysnp_larv_fem_disc7_combined</t>
  </si>
  <si>
    <t>190205_C1RM-Ysnp_larv_fem_disc8_Image001</t>
  </si>
  <si>
    <t>190205_C1RM-Ysnp_larv_fem_disc8_Image002</t>
  </si>
  <si>
    <t>190205_C1RM-Ysnp_larv_fem_disc8_combined</t>
  </si>
  <si>
    <t>190205_C1RM-Ysnp_larv_fem_disc9_Image001</t>
  </si>
  <si>
    <t>190205_C1RM-Ysnp_larv_fem_disc9_Image002</t>
  </si>
  <si>
    <t>190205_C1RM-Ysnp_larv_fem_disc9_combined</t>
  </si>
  <si>
    <t>190205_C1RM-Ysnp_larv_fem_disc10_Image001</t>
  </si>
  <si>
    <t>190205_C1RM-Ysnp_larv_fem_disc10_Image002</t>
  </si>
  <si>
    <t>190205_C1RM-Ysnp_larv_fem_disc10_combined</t>
  </si>
  <si>
    <t>190205_C1RM-Ysnp_larv_fem_disc11_Image001</t>
  </si>
  <si>
    <t>190205_C1RM-Ysnp_larv_fem_disc11_Image002</t>
  </si>
  <si>
    <t>190205_C1RM-Ysnp_larv_fem_disc11_combined</t>
  </si>
  <si>
    <t>190205_C1RM-Ysnp_larv_fem_disc12_Image001</t>
  </si>
  <si>
    <t>190205_C1RM-Ysnp_larv_fem_disc12_Image002</t>
  </si>
  <si>
    <t>190205_C1RM-Ysnp_larv_fem_disc12_combined</t>
  </si>
  <si>
    <t>190205_C1RM-Ysnp_larv_fem_brain1_Image001</t>
  </si>
  <si>
    <t>190205_C1RM-Ysnp_larv_fem_brain1_Image002</t>
  </si>
  <si>
    <t>190205_C1RM-Ysnp_larv_fem_brain1_combined</t>
  </si>
  <si>
    <t>190205_C1RM-Ysnp_larv_fem_brain2_Image001</t>
  </si>
  <si>
    <t>190205_C1RM-Ysnp_larv_fem_brain2_Image002</t>
  </si>
  <si>
    <t>190205_C1RM-Ysnp_larv_fem_brain2_combined</t>
  </si>
  <si>
    <t>190205_C1RM-Ysnp_larv_fem_brain3_Image001</t>
  </si>
  <si>
    <t>190205_C1RM-Ysnp_larv_fem_brain3_Image002</t>
  </si>
  <si>
    <t>190205_C1RM-Ysnp_larv_fem_brain3_combined</t>
  </si>
  <si>
    <t>190205_C1RM-Ysnp_larv_fem_brain4_Image001</t>
  </si>
  <si>
    <t>190205_C1RM-Ysnp_larv_fem_brain4_Image002</t>
  </si>
  <si>
    <t>190205_C1RM-Ysnp_larv_fem_brain4_combined</t>
  </si>
  <si>
    <t>190205_C1RM-Ysnp_larv_fem_brain5_Image001</t>
  </si>
  <si>
    <t>190205_C1RM-Ysnp_larv_fem_brain5_Image002</t>
  </si>
  <si>
    <t>190205_C1RM-Ysnp_larv_fem_brain5_combined</t>
  </si>
  <si>
    <t>190205_C1RM-Ysnp_larv_fem_brain6_Image001</t>
  </si>
  <si>
    <t>190205_C1RM-Ysnp_larv_fem_brain6_Image002</t>
  </si>
  <si>
    <t>190205_C1RM-Ysnp_larv_fem_brain6_combined</t>
  </si>
  <si>
    <t>190205_C1RM-Ysnp_larv_fem_brain7_Image001</t>
  </si>
  <si>
    <t>190205_C1RM-Ysnp_larv_fem_brain7_Image002</t>
  </si>
  <si>
    <t>190205_C1RM-Ysnp_larv_fem_brain7_combined</t>
  </si>
  <si>
    <t>190205_C1RM-Ysnp_larv_fem_brain8_Image001</t>
  </si>
  <si>
    <t>190205_C1RM-Ysnp_larv_fem_brain8_Image002</t>
  </si>
  <si>
    <t>190205_C1RM-Ysnp_larv_fem_brain8_combined</t>
  </si>
  <si>
    <t>190205_C1RM-Ysnp_larv_fem_brain9_Image001</t>
  </si>
  <si>
    <t>190205_C1RM-Ysnp_larv_fem_brain9_Image002</t>
  </si>
  <si>
    <t>190205_C1RM-Ysnp_larv_fem_brain9_combined</t>
  </si>
  <si>
    <t>190422_fem_Xsnp-Xbb-Ybb_gut1_Series001</t>
  </si>
  <si>
    <t>190422_fem_Xsnp-Xbb-Ybb_gut1_Series002</t>
  </si>
  <si>
    <t>190422_fem_Xsnp-Xbb-Ybb_gut1_combined</t>
  </si>
  <si>
    <t>190422_fem_Xsnp-Xbb-Ybb_gut2_Series001</t>
  </si>
  <si>
    <t>190422_fem_Xsnp-Xbb-Ybb_gut2_Series002</t>
  </si>
  <si>
    <t>190422_fem_Xsnp-Xbb-Ybb_gut2_combined</t>
  </si>
  <si>
    <t>190422_fem_Xsnp-Xbb-Ybb_gut3_Series001</t>
  </si>
  <si>
    <t>190422_fem_Xsnp-Xbb-Ybb_gut3_Series002</t>
  </si>
  <si>
    <t>190422_fem_Xsnp-Xbb-Ybb_gut3_combined</t>
  </si>
  <si>
    <t>190422_fem_Xsnp-Xbb-Ybb_gut4_Series001</t>
  </si>
  <si>
    <t>190422_fem_Xsnp-Xbb-Ybb_gut4_Series002</t>
  </si>
  <si>
    <t>190422_fem_Xsnp-Xbb-Ybb_gut4_combined</t>
  </si>
  <si>
    <t>190422_fem_Xsnp-Xbb-Ybb_gut5_Series001</t>
  </si>
  <si>
    <t>190422_fem_Xsnp-Xbb-Ybb_gut5_Series002</t>
  </si>
  <si>
    <t>190422_fem_Xsnp-Xbb-Ybb_gut5_combined</t>
  </si>
  <si>
    <t>190422_fem_Xsnp-Xbb-Ybb_gut6_Series001</t>
  </si>
  <si>
    <t>190422_fem_Xsnp-Xbb-Ybb_gut6_Series002</t>
  </si>
  <si>
    <t>190422_fem_Xsnp-Xbb-Ybb_gut6_combined</t>
  </si>
  <si>
    <t>190422_fem_Xsnp-Xbb-Ybb_gut7_Series001</t>
  </si>
  <si>
    <t>190422_fem_Xsnp-Xbb-Ybb_gut7_Series002</t>
  </si>
  <si>
    <t>190422_fem_Xsnp-Xbb-Ybb_gut7_combined</t>
  </si>
  <si>
    <t>190422_fem_Xsnp-Xbb-Ybb_gut8_Series001</t>
  </si>
  <si>
    <t>190422_fem_Xsnp-Xbb-Ybb_gut8_Series002</t>
  </si>
  <si>
    <t>190422_fem_Xsnp-Xbb-Ybb_gut8_combined</t>
  </si>
  <si>
    <t>190422_fem_Xsnp-Xbb-Ybb_gut9_Series001</t>
  </si>
  <si>
    <t>190422_fem_Xsnp-Xbb-Ybb_gut9_Series002</t>
  </si>
  <si>
    <t>190422_fem_Xsnp-Xbb-Ybb_gut9_combined</t>
  </si>
  <si>
    <t>190422_fem_Xsnp-Xbb-Ybb_gut10_Series001</t>
  </si>
  <si>
    <t>190422_fem_Xsnp-Xbb-Ybb_gut10_Series002</t>
  </si>
  <si>
    <t>190422_fem_Xsnp-Xbb-Ybb_gut10_combined</t>
  </si>
  <si>
    <t>190422_fem_Xsnp-Xbb-Ybb_gut11_Series001</t>
  </si>
  <si>
    <t>190422_fem_Xsnp-Xbb-Ybb_gut11_Series002</t>
  </si>
  <si>
    <t>190422_fem_Xsnp-Xbb-Ybb_gut11_combined</t>
  </si>
  <si>
    <t>190422_fem_Xsnp-Xbb-Ybb_gut12_Series001</t>
  </si>
  <si>
    <t>190422_fem_Xsnp-Xbb-Ybb_gut12_Series002</t>
  </si>
  <si>
    <t>190422_fem_Xsnp-Xbb-Ybb_gut12_combined</t>
  </si>
  <si>
    <t>190422_fem_Xsnp-Xbb-Ybb_gut13_Series001</t>
  </si>
  <si>
    <t>190422_fem_Xsnp-Xbb-Ybb_gut13_Series002</t>
  </si>
  <si>
    <t>190422_fem_Xsnp-Xbb-Ybb_gut13_combined</t>
  </si>
  <si>
    <t>190422_fem_Xsnp-Xbb-Ybb_Germ1_Series001</t>
  </si>
  <si>
    <t>190422_fem_Xsnp-Xbb-Ybb_Germ1_Series002</t>
  </si>
  <si>
    <t>190422_fem_Xsnp-Xbb-Ybb_Germ1_Series003</t>
  </si>
  <si>
    <t>190422_fem_Xsnp-Xbb-Ybb_Germ1_combined</t>
  </si>
  <si>
    <t>190422_fem_Xsnp-Xbb-Ybb_Germ2_Series001</t>
  </si>
  <si>
    <t>190422_fem_Xsnp-Xbb-Ybb_Germ2_Series002</t>
  </si>
  <si>
    <t>190422_fem_Xsnp-Xbb-Ybb_Germ2_combined</t>
  </si>
  <si>
    <t>190422_fem_Xsnp-Xbb-Ybb_Germ3_Series001</t>
  </si>
  <si>
    <t>190422_fem_Xsnp-Xbb-Ybb_Germ3_Series002</t>
  </si>
  <si>
    <t>190422_fem_Xsnp-Xbb-Ybb_Germ3_combined</t>
  </si>
  <si>
    <t>190422_fem_Xsnp-Xbb-Ybb_Germ4_combined</t>
  </si>
  <si>
    <t>190422_fem_Xsnp-Xbb-Ybb_Germ5_combined</t>
  </si>
  <si>
    <t>190422_fem_Xsnp-Xbb-Ybb_Germ6_combined</t>
  </si>
  <si>
    <t>190422_fem_Xsnp-Xbb-Ybb_Germ7_combined</t>
  </si>
  <si>
    <t>190422_fem_Xsnp-Xbb-Ybb_Germ8_combined</t>
  </si>
  <si>
    <t>190422_fem_Xsnp-Xbb-Ybb_Germ9_combined</t>
  </si>
  <si>
    <t>190422_fem_Xsnp-Xbb-Ybb_Germ10_combined</t>
  </si>
  <si>
    <t>190422_fem_Xsnp-Xbb-Ybb_Germ11_combined</t>
  </si>
  <si>
    <t>190422_fem_Xsnp-Xbb-Ybb_Germ12_combined</t>
  </si>
  <si>
    <t>190422_fem_Xsnp-Xbb-Ybb_Germ13_combined</t>
  </si>
  <si>
    <t>190422_fem_Xsnp-Xbb-Ybb_Germ14_combined</t>
  </si>
  <si>
    <t>190422_fem_Xsnp-Xbb-Ybb_Germ15_combined</t>
  </si>
  <si>
    <t>190422_fem_Xsnp-Xbb-Ybb_Germ16_combined</t>
  </si>
  <si>
    <t>190422_fem_Xsnp-Xbb-Ybb_Germ17_combined</t>
  </si>
  <si>
    <t>190422_fem_Xsnp-Xbb-Ybb_Germ18_combined</t>
  </si>
  <si>
    <t>190422_fem_Xsnp-Xbb-Ybb_Germ19_combined</t>
  </si>
  <si>
    <t>190422_fem_Xsnp-Xbb-Ybb_Germ20_combined</t>
  </si>
  <si>
    <t>190422_fem_Xsnp-Xbb-Ybb_Germ21_combined</t>
  </si>
  <si>
    <t>190422_fem_Xsnp-Xbb-Ybb_Germ22_combined</t>
  </si>
  <si>
    <t>190422_fem_Xsnp-Xbb-Ybb_Germ23_combined</t>
  </si>
  <si>
    <t>190422_fem_Xsnp-Xbb-Ybb_Germ24_combined</t>
  </si>
  <si>
    <t>190422_fem_Xsnp-Xbb-Ybb_Germ25_combined</t>
  </si>
  <si>
    <t>190422_fem_Xsnp-Xbb-Ybb_Germ26_combined</t>
  </si>
  <si>
    <t>190422_fem_Xsnp-Xbb-Ybb_Germ27_combined</t>
  </si>
  <si>
    <t>190422_fem_Xsnp-Xbb-Ybb_Germ28_combined</t>
  </si>
  <si>
    <t>190422_fem_Xsnp-Xbb-Ybb_Germ29_combined</t>
  </si>
  <si>
    <t>190422_fem_Xsnp-Xbb-Ybb_Germ30_combined</t>
  </si>
  <si>
    <t>190422_fem_Xsnp-Xbb-Ybb_Germ31_combined</t>
  </si>
  <si>
    <t>190422_fem_Xsnp-Xbb-Ybb_Germ32_combined</t>
  </si>
  <si>
    <t>190422_fem_Xsnp-Xbb-Ybb_Germ33_combined</t>
  </si>
  <si>
    <t>190422_fem_Xsnp-Xbb-Ybb_Germ34_combined</t>
  </si>
  <si>
    <t>190422_fem_Xsnp-Xbb-Ybb_Germ35_combined</t>
  </si>
  <si>
    <t>190422_fem_Xsnp-Xbb-Ybb_Germ36_combined</t>
  </si>
  <si>
    <t>190422_fem_Xsnp-Xbb-Ybb_Germ37_combined</t>
  </si>
  <si>
    <t>190422_fem_Xsnp-Xbb-Ybb_Germ38_combined</t>
  </si>
  <si>
    <t>190422_fem_Xsnp-Xbb-Ybb_Germ39_combined</t>
  </si>
  <si>
    <t>190422_fem_Xsnp-Xbb-Ybb_Germ40_combined</t>
  </si>
  <si>
    <t>190422_fem_Xsnp-Xbb-Ybb_Germ41_combined</t>
  </si>
  <si>
    <t>190422_fem_Xsnp-Xbb-Ybb_Germ42_combined</t>
  </si>
  <si>
    <t>190422_fem_Xsnp-Xbb-Ybb_Germ43_combined</t>
  </si>
  <si>
    <t>190422_fem_Xsnp-Xbb-Ybb_Germ44_combined</t>
  </si>
  <si>
    <t>190422_fem_Xsnp-Xbb-Ybb_Germ45_combined</t>
  </si>
  <si>
    <t>190422_fem_Xsnp-Xbb-Ybb_Germ46_combined</t>
  </si>
  <si>
    <t>190422_fem_Xsnp-Xbb-Ybb_Germ47_combined</t>
  </si>
  <si>
    <t>190422_fem_Xsnp-Xbb-Ybb_Germ48_combined</t>
  </si>
  <si>
    <t>190422_fem_Xsnp-Xbb-Ybb_Germ49_combined</t>
  </si>
  <si>
    <t>190422_fem_Xsnp-Xbb-Ybb_Germ50_combined</t>
  </si>
  <si>
    <t>190422_fem_Xsnp-Xbb-Ybb_Germ51_combined</t>
  </si>
  <si>
    <t>180302_ywlev-dcr2_transhet_larv_fat1</t>
  </si>
  <si>
    <t>180302_ywlev-dcr2_transhet_larv_fat2</t>
  </si>
  <si>
    <t>180302_ywlev-dcr2_transhet_larv_fat3</t>
  </si>
  <si>
    <t>180302_ywlev-dcr2_transhet_larv_fat4</t>
  </si>
  <si>
    <t>n = 4</t>
  </si>
  <si>
    <t>180302_ywlev-dcr2_transhet_larv_disc1_Image001</t>
  </si>
  <si>
    <t>180302_ywlev-dcr2_transhet_larv_disc1_Image002</t>
  </si>
  <si>
    <t>180302_ywlev-dcr2_transhet_larv_disc1 combined</t>
  </si>
  <si>
    <t>180302_ywlev-dcr2_transhet_larv_disc2_Image001</t>
  </si>
  <si>
    <t>180302_ywlev-dcr2_transhet_larv_disc2_Image002</t>
  </si>
  <si>
    <t>180302_ywlev-dcr2_transhet_larv_disc2 combined</t>
  </si>
  <si>
    <t>180302_ywlev-dcr2_transhet_larv_disc3_Image001</t>
  </si>
  <si>
    <t>180302_ywlev-dcr2_transhet_larv_disc3_Image002</t>
  </si>
  <si>
    <t>180302_ywlev-dcr2_transhet_larv_disc3 combined</t>
  </si>
  <si>
    <t>180302_ywlev-dcr2_transhet_larv_disc4_Image001</t>
  </si>
  <si>
    <t>180302_ywlev-dcr2_transhet_larv_disc4_Image002</t>
  </si>
  <si>
    <t>180302_ywlev-dcr2_transhet_larv_disc4_combined</t>
  </si>
  <si>
    <t>180302_ywlev-dcr2_transhet_larv_disc5_Image001</t>
  </si>
  <si>
    <t>180302_ywlev-dcr2_transhet_larv_disc5_Image002</t>
  </si>
  <si>
    <t>180302_ywlev-dcr2_transhet_larv_disc5_combined</t>
  </si>
  <si>
    <t>180302_ywlev-dcr2_transhet_larv_disc6_Image001</t>
  </si>
  <si>
    <t>180302_ywlev-dcr2_transhet_larv_disc6_Image002</t>
  </si>
  <si>
    <t>180302_ywlev-dcr2_transhet_larv_disc6_combined</t>
  </si>
  <si>
    <t>180302_ywlev-dcr2_transhet_larv_disc7_Image001</t>
  </si>
  <si>
    <t>180302_ywlev-dcr2_transhet_larv_disc7_Image002</t>
  </si>
  <si>
    <t>180302_ywlev-dcr2_transhet_larv_disc7_combined</t>
  </si>
  <si>
    <t>180302_ywlev-dcr2_transhet_larv_disc8_Image001</t>
  </si>
  <si>
    <t>180302_ywlev-dcr2_transhet_larv_disc8_Image002</t>
  </si>
  <si>
    <t>180302_ywlev-dcr2_transhet_larv_disc8 combined</t>
  </si>
  <si>
    <t>180302_ywlev-dcr2_transhet_larv_disc9_Image001</t>
  </si>
  <si>
    <t>180302_ywlev-dcr2_transhet_larv_disc9_Image002</t>
  </si>
  <si>
    <t>180302_ywlev-dcr2_transhet_larv_disc9 combined</t>
  </si>
  <si>
    <t>n = 9</t>
  </si>
  <si>
    <t>180302_ywlev-dcr2_transhet_larv_brain1_Image001</t>
  </si>
  <si>
    <t>180302_ywlev-dcr2_transhet_larv_brain1_Image002</t>
  </si>
  <si>
    <t>180302_ywlev-dcr2_transhet_larv_brain1 combined</t>
  </si>
  <si>
    <t>180302_ywlev-dcr2_transhet_larv_brain2_Image001</t>
  </si>
  <si>
    <t>180302_ywlev-dcr2_transhet_larv_brain2_Image002</t>
  </si>
  <si>
    <t>180302_ywlev-dcr2_transhet_larv_brain2 combined</t>
  </si>
  <si>
    <t>180302_ywlev-dcr2_transhet_larv_brain3_Image001</t>
  </si>
  <si>
    <t>180302_ywlev-dcr2_transhet_larv_brain3_Image002</t>
  </si>
  <si>
    <t>180302_ywlev-dcr2_transhet_larv_brain3 combined</t>
  </si>
  <si>
    <t>180302_ywlev-dcr2_transhet_larv_brain4_Image001</t>
  </si>
  <si>
    <t>180302_ywlev-dcr2_transhet_larv_brain4_Image002</t>
  </si>
  <si>
    <t>180302_ywlev-dcr2_transhet_larv_brain4 combined</t>
  </si>
  <si>
    <t>180302_ywlev-dcr2_transhet_larv_brain5_Image001</t>
  </si>
  <si>
    <t>180302_ywlev-dcr2_transhet_larv_brain5_Image002</t>
  </si>
  <si>
    <t>180302_ywlev-dcr2_transhet_larv_brain5 combined</t>
  </si>
  <si>
    <t>180302_ywlev-dcr2_transhet_larv_brain6_Image001</t>
  </si>
  <si>
    <t>180302_ywlev-dcr2_transhet_larv_brain6_Image002</t>
  </si>
  <si>
    <t>180302_ywlev-dcr2_transhet_larv_brain6 combined</t>
  </si>
  <si>
    <t>180302_ywlev-dcr2_transhet_larv_salgland1</t>
  </si>
  <si>
    <t>180302_ywlev-dcr2_transhet_larv_salgland2</t>
  </si>
  <si>
    <t>180302_ywlev-dcr2_transhet_larv_salgland3</t>
  </si>
  <si>
    <t>180302_ywlev-dcr2_transhet_larv_salgland4</t>
  </si>
  <si>
    <t>180302_ywlev-dcr2_transhet_larv_salgland5</t>
  </si>
  <si>
    <t>180302_ywlev-dcr2_transhet_larv_salgland6</t>
  </si>
  <si>
    <t>180302_ywlev-dcr2_transhet_larv_salgland7</t>
  </si>
  <si>
    <t>180302_ywlev-dcr2_transhet_larv_salgland8</t>
  </si>
  <si>
    <t>n = 8</t>
  </si>
  <si>
    <t>180408_ywkev-dcr2_transhet_adultgut1_Image1</t>
  </si>
  <si>
    <t>180408_ywkev-dcr2_transhet_adultgut1_Image2</t>
  </si>
  <si>
    <t>180408_ywkev-dcr2_transhet_adultgut1 combined</t>
  </si>
  <si>
    <t>180408_ywkev-dcr2_transhet_adultgut2_Image1</t>
  </si>
  <si>
    <t>180408_ywkev-dcr2_transhet_adultgut2_Image2</t>
  </si>
  <si>
    <t>180408_ywkev-dcr2_transhet_adultgut2 combined</t>
  </si>
  <si>
    <t>180408_ywkev-dcr2_transhet_adultgut3_Image1</t>
  </si>
  <si>
    <t>180408_ywkev-dcr2_transhet_adultgut3_Image2</t>
  </si>
  <si>
    <t>180408_ywkev-dcr2_transhet_adultgut3 combined</t>
  </si>
  <si>
    <t>180408_ywkev-dcr2_transhet_adultgut4_Image1</t>
  </si>
  <si>
    <t>180408_ywkev-dcr2_transhet_adultgut4_Image2</t>
  </si>
  <si>
    <t>180408_ywkev-dcr2_transhet_adultgut4 combined</t>
  </si>
  <si>
    <t>180408_ywkev-dcr2_transhet_adultgut5_Image1</t>
  </si>
  <si>
    <t>180408_ywkev-dcr2_transhet_adultgut5_Image2</t>
  </si>
  <si>
    <t>180408_ywkev-dcr2_transhet_adultgut5 combined</t>
  </si>
  <si>
    <t>180408_ywkev-dcr2_transhet_adultgut6_Image1</t>
  </si>
  <si>
    <t>180408_ywkev-dcr2_transhet_adultgut6_Image2</t>
  </si>
  <si>
    <t>180408_ywkev-dcr2_transhet_adultgut6 combined</t>
  </si>
  <si>
    <t>180302_ywlev-dcr2_transhet_larv_gut2_Image002</t>
  </si>
  <si>
    <t>180302_ywlev-dcr2_transhet_larv_gut2_Image001</t>
  </si>
  <si>
    <t>180302_ywlev-dcr2_transhet_larv_gut2 combined</t>
  </si>
  <si>
    <t>180302_ywlev-dcr2_transhet_larv_gut1_Image002</t>
  </si>
  <si>
    <t>180302_ywlev-dcr2_transhet_larv_gut1_Image001</t>
  </si>
  <si>
    <t>180302_ywlev-dcr2_transhet_larv_gut1 combined</t>
  </si>
  <si>
    <t>180302_ywlev-dcr2_transhet_larv_gut3_Image002</t>
  </si>
  <si>
    <t>180302_ywlev-dcr2_transhet_larv_gut3_Image001</t>
  </si>
  <si>
    <t>180302_ywlev-dcr2_transhet_larv_gut3 combined</t>
  </si>
  <si>
    <t>180302_ywlev-dcr2_transhet_larv_gut4_Image001</t>
  </si>
  <si>
    <t>180302_ywlev-dcr2_transhet_larv_gut4_Image002</t>
  </si>
  <si>
    <t>180302_ywlev-dcr2_transhet_larv_gut4 combined</t>
  </si>
  <si>
    <t>180302_ywlev-dcr2_transhet_larv_gut5_Image001</t>
  </si>
  <si>
    <t>180302_ywlev-dcr2_transhet_larv_gut5_Image002</t>
  </si>
  <si>
    <t>180302_ywlev-dcr2_transhet_larv_gut5 combined</t>
  </si>
  <si>
    <t>n = 5</t>
  </si>
  <si>
    <t>180112_ywkev--suvar39_transhet_gut1</t>
  </si>
  <si>
    <t>180112_ywkev--suvar39_transhet_gut1 combined</t>
  </si>
  <si>
    <t>180112_ywkev--suvar39_transhet_gut2</t>
  </si>
  <si>
    <t>180112_ywkev--suvar39_transhet_gut2 combined</t>
  </si>
  <si>
    <t>180112_ywkev--suvar39_transhet_gut3</t>
  </si>
  <si>
    <t>180112_ywkev--suvar39_transhet_gut3 combined</t>
  </si>
  <si>
    <t>180112_ywkev--suvar39_transhet_gut4</t>
  </si>
  <si>
    <t>180112_ywkev--suvar39_transhet_gut4 combined</t>
  </si>
  <si>
    <t>180112_ywkev--suvar39_transhet_gut5</t>
  </si>
  <si>
    <t>180112_ywkev--suvar39_transhet_gut5 combined</t>
  </si>
  <si>
    <t>180112_ywkev--suvar39_transhet_disc1</t>
  </si>
  <si>
    <t>180112_ywkev--suvar39_transhet_disc1 combined</t>
  </si>
  <si>
    <t>180112_ywkev--suvar39_transhet_disc2</t>
  </si>
  <si>
    <t>180112_ywkev--suvar39_transhet_disc2 combined</t>
  </si>
  <si>
    <t>180112_ywkev--suvar39_transhet_disc3</t>
  </si>
  <si>
    <t>180112_ywkev--suvar39_transhet_disc3 combined</t>
  </si>
  <si>
    <t>180112_ywkev--suvar39_transhet_disc4</t>
  </si>
  <si>
    <t>180112_ywkev--suvar39_transhet_disc4 combined</t>
  </si>
  <si>
    <t>180112_ywkev--suvar39_transhet_disc5</t>
  </si>
  <si>
    <t>180112_ywkev--suvar39_transhet_disc5 combined</t>
  </si>
  <si>
    <t>180112_ywkev--suvar39_transhet_disc6</t>
  </si>
  <si>
    <t>180112_ywkev--suvar39_transhet_disc6 combined</t>
  </si>
  <si>
    <t>180112_ywkev--suvar39_transhet_head1</t>
  </si>
  <si>
    <t>180112_ywkev--suvar39_transhet_head1 combined</t>
  </si>
  <si>
    <t>180112_ywkev--suvar39_transhet_head2</t>
  </si>
  <si>
    <t>180112_ywkev--suvar39_transhet_head2 combined</t>
  </si>
  <si>
    <t>180112_ywkev--suvar39_transhet_head3</t>
  </si>
  <si>
    <t>180112_ywkev--suvar39_transhet_head3 combined</t>
  </si>
  <si>
    <t>180112_ywkev--suvar39_transhet_head4</t>
  </si>
  <si>
    <t>180112_ywkev--suvar39_transhet_head4 combined</t>
  </si>
  <si>
    <t>180112_ywkev--suvar39_transhet_head5</t>
  </si>
  <si>
    <t>180112_ywkev--suvar39_transhet_head5 combined</t>
  </si>
  <si>
    <t>180112_ywkev--suvar39_transhet_head6</t>
  </si>
  <si>
    <t>180112_ywkev--suvar39_transhet_head6 combined</t>
  </si>
  <si>
    <t>180112_ywkev--suvar39_transhet_salgland1-2 (top)</t>
  </si>
  <si>
    <t>180112_ywkev--suvar39_transhet_salgland1-2 (bottom)</t>
  </si>
  <si>
    <t>180112_ywkev--suvar39_transhet_salgland3</t>
  </si>
  <si>
    <t>180112_ywkev--suvar39_transhet_salgland4</t>
  </si>
  <si>
    <t>180112_ywkev--suvar39_transhet_salgland5</t>
  </si>
  <si>
    <t>180112_ywkev--suvar39_transhet_salgland6</t>
  </si>
  <si>
    <t>180112_ywkev--suvar39_transhet_salgland7</t>
  </si>
  <si>
    <t>180112_ywkev--suvar39_transhet_salgland8</t>
  </si>
  <si>
    <t>180112_ywkev--suvar39_transhet_salgland9</t>
  </si>
  <si>
    <t>180112_ywkev--suvar39_transhet_salgland10</t>
  </si>
  <si>
    <t>180112_ywkev--suvar39_transhet_salgland11</t>
  </si>
  <si>
    <t>n = 11</t>
  </si>
  <si>
    <t>180122_ywkev-suvar39-transhet_adult_gut1</t>
  </si>
  <si>
    <t>180122_ywkev-suvar39-transhet_adult_gut2</t>
  </si>
  <si>
    <t>180122_ywkev-suvar39-transhet_adult_gut3</t>
  </si>
  <si>
    <t>180122_ywkev-suvar39-transhet_adult_gut7</t>
  </si>
  <si>
    <t>180122_ywkev-suvar39-transhet_adult_gut8</t>
  </si>
  <si>
    <t>180122_ywkev-suvar39-transhet_adult_gut9</t>
  </si>
  <si>
    <t>180404_ywkev--suvar39_transhet_larvfat1</t>
  </si>
  <si>
    <t>180404_ywkev--suvar39_transhet_larvfat2</t>
  </si>
  <si>
    <t>180404_ywkev--suvar39_transhet_larvfat3</t>
  </si>
  <si>
    <t>180404_ywkev--suvar39_transhet_larvfat4</t>
  </si>
  <si>
    <t>180404_ywkev--suvar39_transhet_larvfat5</t>
  </si>
  <si>
    <t>180404_ywkev--suvar39_transhet_larvfat6</t>
  </si>
  <si>
    <t>180404_ywkev--suvar39_transhet_larvfat7</t>
  </si>
  <si>
    <t>n = 7</t>
  </si>
  <si>
    <t>180111_ywkev_SNP+IGSc_emb_male7 - 1</t>
  </si>
  <si>
    <t>180111_ywkev_SNP+IGSc_emb_male7 - 2</t>
  </si>
  <si>
    <t>180111_ywkev_SNP+IGSc_emb_male7 - combined</t>
  </si>
  <si>
    <t>180111_ywkev_SNP+IGSc_emb_male13 - 1</t>
  </si>
  <si>
    <t>180111_ywkev_SNP+IGSc_emb_male13 - 2</t>
  </si>
  <si>
    <t>180111_ywkev_SNP+IGSc_emb_male13 - combined</t>
  </si>
  <si>
    <t>180322_ywkeb_SNP+IGSc_emb_male10</t>
  </si>
  <si>
    <t>180322_ywkeb_SNP+IGSc_emb_male9_female10</t>
  </si>
  <si>
    <t>180322_ywkeb_SNP+IGSc_emb_male3</t>
  </si>
  <si>
    <t>180322_ywkeb_SNP+IGSc_emb_male2</t>
  </si>
  <si>
    <t>180322_ywkeb_SNP+IGSc_emb_male1</t>
  </si>
  <si>
    <t>180111_ywkev_SNP+IGSc_emb_male2 - 1</t>
  </si>
  <si>
    <t>180111_ywkev_SNP+IGSc_emb_male2 - 2</t>
  </si>
  <si>
    <t>180111_ywkev_SNP+IGSc_emb_male2 - combined</t>
  </si>
  <si>
    <t>180111_ywkev_SNP+IGSc_emb_male21 - 1</t>
  </si>
  <si>
    <t>180111_ywkev_SNP+IGSc_emb_male21 - 2</t>
  </si>
  <si>
    <t>180111_ywkev_SNP+IGSc_emb_male21 - combined</t>
  </si>
  <si>
    <t>180111_ywkev_SNP+IGSc_emb_male19 - 1</t>
  </si>
  <si>
    <t>180111_ywkev_SNP+IGSc_emb_male19 - 2</t>
  </si>
  <si>
    <t>180111_ywkev_SNP+IGSc_emb_male19 - combined</t>
  </si>
  <si>
    <t>180111_ywkev_SNP+IGSc_emb_male12</t>
  </si>
  <si>
    <t>180111_ywkev_SNP+IGSc_emb_male9 - 1</t>
  </si>
  <si>
    <t>180111_ywkev_SNP+IGSc_emb_male9 - 2</t>
  </si>
  <si>
    <t>180111_ywkev_SNP+IGSc_emb_male9 - combined</t>
  </si>
  <si>
    <t>180111_ywkev_SNP+IGSc_emb_male11 - 1</t>
  </si>
  <si>
    <t>180111_ywkev_SNP+IGSc_emb_male11 - 2</t>
  </si>
  <si>
    <t>180111_ywkev_SNP+IGSc_emb_male11 - combined</t>
  </si>
  <si>
    <t>180111_ywkev_SNP+IGSc_emb_male10 - 1</t>
  </si>
  <si>
    <t>180111_ywkev_SNP+IGSc_emb_male10 - 2</t>
  </si>
  <si>
    <t>180111_ywkev_SNP+IGSc_emb_male10 - combined</t>
  </si>
  <si>
    <t>180322_ywkeb_SNP+IGSc_emb_male8</t>
  </si>
  <si>
    <t>180322_ywkeb_SNP+IGSc_emb_male6 - 1</t>
  </si>
  <si>
    <t>180322_ywkeb_SNP+IGSc_emb_male6 - 2</t>
  </si>
  <si>
    <t>180322_ywkeb_SNP+IGSc_emb_male6 - combined</t>
  </si>
  <si>
    <t>180322_ywkeb_SNP+IGSc_emb_male5</t>
  </si>
  <si>
    <t>180322_ywkeb_SNP+IGSc_emb_male4</t>
  </si>
  <si>
    <t>180111_ywkev_SNP+IGSc_emb_male8 - 1</t>
  </si>
  <si>
    <t>180111_ywkev_SNP+IGSc_emb_male8 - 2</t>
  </si>
  <si>
    <t>180111_ywkev_SNP+IGSc_emb_male8 - combined</t>
  </si>
  <si>
    <t>180111_ywkev_SNP+IGSc_emb_male6 - 1</t>
  </si>
  <si>
    <t>180111_ywkev_SNP+IGSc_emb_male6 - 2</t>
  </si>
  <si>
    <t>180111_ywkev_SNP+IGSc_emb_male6 - combined</t>
  </si>
  <si>
    <t>180111_ywkev_SNP+IGSc_emb_male5 - 1</t>
  </si>
  <si>
    <t>180111_ywkev_SNP+IGSc_emb_male5 - 2</t>
  </si>
  <si>
    <t>180111_ywkev_SNP+IGSc_emb_male5 - combined</t>
  </si>
  <si>
    <t xml:space="preserve">180111_ywkev_SNP+IGSc_emb_male4 -1 </t>
  </si>
  <si>
    <t>180111_ywkev_SNP+IGSc_emb_male4 - 2</t>
  </si>
  <si>
    <t>180111_ywkev_SNP+IGSc_emb_male4 - combined</t>
  </si>
  <si>
    <t>180111_ywkev_SNP+IGSc_emb_male3 - 1</t>
  </si>
  <si>
    <t>180111_ywkev_SNP+IGSc_emb_male3 - 2</t>
  </si>
  <si>
    <t>180111_ywkev_SNP+IGSc_emb_male3 - combined</t>
  </si>
  <si>
    <t>180111_ywkev_SNP+IGSc_emb_male18 - 1</t>
  </si>
  <si>
    <t>180111_ywkev_SNP+IGSc_emb_male18 - 2</t>
  </si>
  <si>
    <t>180111_ywkev_SNP+IGSc_emb_male18 - combined</t>
  </si>
  <si>
    <t>180111_ywkev_SNP+IGSc_emb_male17 - 1</t>
  </si>
  <si>
    <t>180111_ywkev_SNP+IGSc_emb_male17 - 2</t>
  </si>
  <si>
    <t>180111_ywkev_SNP+IGSc_emb_male17 - combined</t>
  </si>
  <si>
    <t>180111_ywkev_SNP+IGSc_emb_male16 - 1</t>
  </si>
  <si>
    <t>180111_ywkev_SNP+IGSc_emb_male16 - 2</t>
  </si>
  <si>
    <t>180111_ywkev_SNP+IGSc_emb_male16 - combined</t>
  </si>
  <si>
    <t>180111_ywkev_SNP+IGSc_emb_male15 - 1</t>
  </si>
  <si>
    <t>180111_ywkev_SNP+IGSc_emb_male15 - 2</t>
  </si>
  <si>
    <t>180111_ywkev_SNP+IGSc_emb_male15 - combined</t>
  </si>
  <si>
    <t>180111_ywkev_SNP+IGSc_emb_male14 - 1</t>
  </si>
  <si>
    <t>180111_ywkev_SNP+IGSc_emb_male14 - 2</t>
  </si>
  <si>
    <t>180111_ywkev_SNP+IGSc_emb_male14 - combined</t>
  </si>
  <si>
    <t>180111_ywkev_SNP+IGSc_emb_male20 - 1</t>
  </si>
  <si>
    <t>180111_ywkev_SNP+IGSc_emb_male20 - 2</t>
  </si>
  <si>
    <t>180111_ywkev_SNP+IGSc_emb_male20 - combined</t>
  </si>
  <si>
    <t>larval fat body</t>
  </si>
  <si>
    <t>Total # cells/tissue</t>
  </si>
  <si>
    <t>Total cells:</t>
  </si>
  <si>
    <t>Total Cells:</t>
  </si>
  <si>
    <t>n = 21</t>
  </si>
  <si>
    <t>n = 12</t>
  </si>
  <si>
    <t>female larval brain</t>
  </si>
  <si>
    <t>n = 13</t>
  </si>
  <si>
    <t>n = 51</t>
  </si>
  <si>
    <t>n = 10</t>
  </si>
  <si>
    <t>yw</t>
  </si>
  <si>
    <t>embryo: early gastrula</t>
  </si>
  <si>
    <t>embryo: germband extension</t>
  </si>
  <si>
    <t>embryo: segmentation</t>
  </si>
  <si>
    <t>C(1)RM/Y</t>
  </si>
  <si>
    <t>170203_1</t>
  </si>
  <si>
    <t>170203_2</t>
  </si>
  <si>
    <t>170203_combined</t>
  </si>
  <si>
    <t>170307_1</t>
  </si>
  <si>
    <t>170307_1_2</t>
  </si>
  <si>
    <t>170307_1_1</t>
  </si>
  <si>
    <t>170307_1_combined</t>
  </si>
  <si>
    <t>170307_2_1</t>
  </si>
  <si>
    <t>170307_2_2</t>
  </si>
  <si>
    <t>170307_2_combined</t>
  </si>
  <si>
    <t>170307_3</t>
  </si>
  <si>
    <t>170307_4_1</t>
  </si>
  <si>
    <t>170307_4_2</t>
  </si>
  <si>
    <t>170307_4_combined</t>
  </si>
  <si>
    <t>161222_1</t>
  </si>
  <si>
    <t>170112_1</t>
  </si>
  <si>
    <t>170307_2</t>
  </si>
  <si>
    <t>170307_4</t>
  </si>
  <si>
    <t>170307_5</t>
  </si>
  <si>
    <t>170307_6</t>
  </si>
  <si>
    <t>170307_7</t>
  </si>
  <si>
    <t>170203_3</t>
  </si>
  <si>
    <t>170203_4</t>
  </si>
  <si>
    <t>170203_5</t>
  </si>
  <si>
    <t>170203_6</t>
  </si>
  <si>
    <t>170203_1_1</t>
  </si>
  <si>
    <t>170203_1_2</t>
  </si>
  <si>
    <t>170203_1_combined</t>
  </si>
  <si>
    <t>170203_2_1</t>
  </si>
  <si>
    <t>170203_2_2</t>
  </si>
  <si>
    <t>170203_2_combined</t>
  </si>
  <si>
    <t>170203_3_1</t>
  </si>
  <si>
    <t>170203_3_2</t>
  </si>
  <si>
    <t>170203_3_combined</t>
  </si>
  <si>
    <t>170203_4_1</t>
  </si>
  <si>
    <t>170203_4_2</t>
  </si>
  <si>
    <t>170203_4_combined</t>
  </si>
  <si>
    <t>170307_8</t>
  </si>
  <si>
    <t>170307_9</t>
  </si>
  <si>
    <t>170307_10</t>
  </si>
  <si>
    <t>170307_11</t>
  </si>
  <si>
    <t>170307_12</t>
  </si>
  <si>
    <t>170522_1_1</t>
  </si>
  <si>
    <t>170522_1_2</t>
  </si>
  <si>
    <t>170522_1_combined</t>
  </si>
  <si>
    <t>170522_2_1</t>
  </si>
  <si>
    <t>170522_2_2</t>
  </si>
  <si>
    <t>170522_2_combined</t>
  </si>
  <si>
    <t>170522_3_1</t>
  </si>
  <si>
    <t>170522_3_2</t>
  </si>
  <si>
    <t>170522_3_combined</t>
  </si>
  <si>
    <t>170522_4_1</t>
  </si>
  <si>
    <t>170522_4_2</t>
  </si>
  <si>
    <t>170522_4_combined</t>
  </si>
  <si>
    <t>170522_5_1</t>
  </si>
  <si>
    <t>170522_5_2</t>
  </si>
  <si>
    <t>170522_5_combined</t>
  </si>
  <si>
    <t>170522_6_1</t>
  </si>
  <si>
    <t>170522_6_2</t>
  </si>
  <si>
    <t>170522_6_combined</t>
  </si>
  <si>
    <t>170522_7_1</t>
  </si>
  <si>
    <t>170522_7_2</t>
  </si>
  <si>
    <t>170522_7_combined</t>
  </si>
  <si>
    <t>n = 15</t>
  </si>
  <si>
    <t>n = 17</t>
  </si>
  <si>
    <t>Standard Deviation</t>
  </si>
  <si>
    <t>embryo: pre-gastrulation</t>
  </si>
  <si>
    <t>embryo: early gastrula/germband</t>
  </si>
  <si>
    <t>X rDNA-dominant - #cells</t>
  </si>
  <si>
    <t>Y rDNA-dominant - #cells</t>
  </si>
  <si>
    <t>co-dominant - #cells</t>
  </si>
  <si>
    <t>% X rDNA-dominant</t>
  </si>
  <si>
    <t>% Y rDNA-dominant</t>
  </si>
  <si>
    <t>% co-dominant</t>
  </si>
  <si>
    <t>Xbb-(Ybb+) rDNA dominant - #cells</t>
  </si>
  <si>
    <t>% Xbb-(Ybb+) rDNA-dominant</t>
  </si>
  <si>
    <t>vial</t>
  </si>
  <si>
    <t>count</t>
  </si>
  <si>
    <t>percentage</t>
  </si>
  <si>
    <t>Hybrid Dysgenesis</t>
  </si>
  <si>
    <t>Dysgenic Cross</t>
  </si>
  <si>
    <t>tissue</t>
  </si>
  <si>
    <t>20190206_L_G_brain_1_Image001</t>
  </si>
  <si>
    <t>20190206_L_G_brain_1_Image002</t>
  </si>
  <si>
    <t>20190206_L_G_brain_1_combined</t>
  </si>
  <si>
    <t>20190206_L_G_brain_2_Image001</t>
  </si>
  <si>
    <t>20190206_L_G_brain_2_Image002</t>
  </si>
  <si>
    <t>20190206_L_G_brain_2_combined</t>
  </si>
  <si>
    <t>20190206_L_G_brain_3_Image001</t>
  </si>
  <si>
    <t>20190206_L_G_brain_3_Image002</t>
  </si>
  <si>
    <t>20190206_L_G_brain_3_combined</t>
  </si>
  <si>
    <t>20190206_L_G_brain_4_Image001</t>
  </si>
  <si>
    <t>20190206_L_G_brain_4_Image002</t>
  </si>
  <si>
    <t>20190206_L_G_brain_4_combined</t>
  </si>
  <si>
    <t>20190206_L_G_brain_5_Image001</t>
  </si>
  <si>
    <t>20190206_L_G_brain_5_Image002</t>
  </si>
  <si>
    <t>20190206_L_G_brain_5_combined</t>
  </si>
  <si>
    <t>20190206_L_G_brain_6_Image001</t>
  </si>
  <si>
    <t>20190206_L_G_brain_6_Image002</t>
  </si>
  <si>
    <t>20190206_L_G_brain_6_combined</t>
  </si>
  <si>
    <t>20190206_L_G_brain_7_Image001</t>
  </si>
  <si>
    <t>20190206_L_G_brain_7_Image002</t>
  </si>
  <si>
    <t>20190206_L_G_brain_7_combined</t>
  </si>
  <si>
    <t>20190206_L_G_brain_8_Image001</t>
  </si>
  <si>
    <t>20190206_L_G_brain_8_Image002</t>
  </si>
  <si>
    <t>20190206_L_G_brain_8_combined</t>
  </si>
  <si>
    <t>20190206_L_G_brain_9_Image001</t>
  </si>
  <si>
    <t>20190206_L_G_brain_9_Image002</t>
  </si>
  <si>
    <t>20190206_L_G_brain_9_combined</t>
  </si>
  <si>
    <t>20190206_L_G_disc_1_Image001</t>
  </si>
  <si>
    <t>20190206_L_G_disc_1_Image002</t>
  </si>
  <si>
    <t>20190206_L_G_disc_1_combined</t>
  </si>
  <si>
    <t>20190206_L_G_disc_2_Image001</t>
  </si>
  <si>
    <t>20190206_L_G_disc_2_Image002</t>
  </si>
  <si>
    <t>20190206_L_G_disc_2_combined</t>
  </si>
  <si>
    <t>20190206_L_G_disc_3_Image001</t>
  </si>
  <si>
    <t>20190206_L_G_disc_3_Image002</t>
  </si>
  <si>
    <t>20190206_L_G_disc_3_Combined</t>
  </si>
  <si>
    <t>20190206_L_G_disc_4_Image001</t>
  </si>
  <si>
    <t>20190206_L_G_disc_4_Image002</t>
  </si>
  <si>
    <t>20190206_L_G_disc_4_combined</t>
  </si>
  <si>
    <t>20190206_L_G_disc_5_Image001</t>
  </si>
  <si>
    <t>20190206_L_G_disc_5_Image002</t>
  </si>
  <si>
    <t>20190206_L_G_disc_5_combined</t>
  </si>
  <si>
    <t>20190206_L_G_disc_6_Image001</t>
  </si>
  <si>
    <t>20190206_L_G_disc_6_Image002</t>
  </si>
  <si>
    <t>20190206_L_G_disc_6_combined</t>
  </si>
  <si>
    <t>20190206_L_G_disc_7_Image001</t>
  </si>
  <si>
    <t>20190206_L_G_disc_7_Image002</t>
  </si>
  <si>
    <t>20190206_L_G_disc_7_combined</t>
  </si>
  <si>
    <t>20190206_L_G_disc_8_Image001</t>
  </si>
  <si>
    <t>20190206_L_G_disc_8_Image002</t>
  </si>
  <si>
    <t>20190206_L_G_disc_8_combined</t>
  </si>
  <si>
    <t>20190206_L_G_disc_9_Image001</t>
  </si>
  <si>
    <t>20190206_L_G_disc_9_Image002</t>
  </si>
  <si>
    <t>20190206_L_G_disc_9_combined</t>
  </si>
  <si>
    <t>Le Reduit x Guam</t>
  </si>
  <si>
    <t>Guam x Le Reduit</t>
  </si>
  <si>
    <t>Genotype: P0 Cross (male x female)</t>
  </si>
  <si>
    <t>ITSd24 rDNA-dominant - #cells</t>
  </si>
  <si>
    <t>ITS+ rDNA-dominant - #cells</t>
  </si>
  <si>
    <t>% ITSd24 rDNA-dominant</t>
  </si>
  <si>
    <t>% ITS+ rDNA-dominant</t>
  </si>
  <si>
    <t>20190320_L_G_gut_1_Series001</t>
  </si>
  <si>
    <t>20190320_L_G_gut_1_Series002</t>
  </si>
  <si>
    <t>20190320_L_G_gut_1_combined</t>
  </si>
  <si>
    <t>20190320_L_G_gut_2_Series001</t>
  </si>
  <si>
    <t>20190320_L_G_gut_2_Series002</t>
  </si>
  <si>
    <t>20190320_L_G_gut_2_combined</t>
  </si>
  <si>
    <t>20190320_L_G_gut_3_Series001</t>
  </si>
  <si>
    <t>20190320_L_G_gut_3_Series002</t>
  </si>
  <si>
    <t>20190320_L_G_gut_3_combined</t>
  </si>
  <si>
    <t>20190320_L_G_gut_4_Series001</t>
  </si>
  <si>
    <t>20190320_L_G_gut_4_Series002</t>
  </si>
  <si>
    <t>20190320_L_G_gut_4_combined</t>
  </si>
  <si>
    <t>20190320_L_G_gut_5_Series001</t>
  </si>
  <si>
    <t>20190320_L_G_gut_5_Series002</t>
  </si>
  <si>
    <t>20190320_L_G_gut_5_combined</t>
  </si>
  <si>
    <t>20190320_L_G_gut_6_Series001</t>
  </si>
  <si>
    <t>20190320_L_G_gut_6_Series002</t>
  </si>
  <si>
    <t>20190320_L_G_gut_6_combined</t>
  </si>
  <si>
    <t>20190320_L_G_gut_7_Series001</t>
  </si>
  <si>
    <t>20190320_L_G_gut_7_Series002</t>
  </si>
  <si>
    <t>20190320_L_G_gut_7_combined</t>
  </si>
  <si>
    <t>20190320_L_G_gut_8_Series001</t>
  </si>
  <si>
    <t>20190320_L_G_gut_8_Series002</t>
  </si>
  <si>
    <t>20190320_L_G_gut_8_combined</t>
  </si>
  <si>
    <t>20190320_L_G_gut_9_Series001</t>
  </si>
  <si>
    <t>20190320_L_G_gut_9_Series002</t>
  </si>
  <si>
    <t>20190320_L_G_gut_9_combined</t>
  </si>
  <si>
    <t>20190304_G_L_gut_1_Series001</t>
  </si>
  <si>
    <t>20190304_G_L_gut_1_Series002</t>
  </si>
  <si>
    <t>20190304_G_L_gut_1_combined</t>
  </si>
  <si>
    <t>20190304_G_L_gut_2_Series001</t>
  </si>
  <si>
    <t>20190304_G_L_gut_2_Series002</t>
  </si>
  <si>
    <t>20190304_G_L_gut_2_combined</t>
  </si>
  <si>
    <t>20190304_G_L_gut_3_Series001</t>
  </si>
  <si>
    <t>20190304_G_L_gut_3_Series002</t>
  </si>
  <si>
    <t>20190304_G_L_gut_3_combined</t>
  </si>
  <si>
    <t>20190304_G_L_gut_4_Series001</t>
  </si>
  <si>
    <t>20190304_G_L_gut_4_Series002</t>
  </si>
  <si>
    <t>20190304_G_L_gut_4_combined</t>
  </si>
  <si>
    <t>20190320_G_L_gut_1_Series001</t>
  </si>
  <si>
    <t>20190320_G_L_gut_1_Series002</t>
  </si>
  <si>
    <t>20190320_G_L_gut_1_combined</t>
  </si>
  <si>
    <t>20190320_G_L_gut_2_Series001</t>
  </si>
  <si>
    <t>20190320_G_L_gut_2_Series002</t>
  </si>
  <si>
    <t>20190320_G_L_gut_2_combined</t>
  </si>
  <si>
    <t>20190320_G_L_gut_3_Series001</t>
  </si>
  <si>
    <t>20190320_G_L_gut_3_Series002</t>
  </si>
  <si>
    <t>20190320_G_L_gut_3_combined</t>
  </si>
  <si>
    <t>20190320_G_L_gut_4_Series001</t>
  </si>
  <si>
    <t>20190320_G_L_gut_4_Series002</t>
  </si>
  <si>
    <t>20190320_G_L_gut_4_combined</t>
  </si>
  <si>
    <t>20190320_G_L_gut_5_Series001</t>
  </si>
  <si>
    <t>20190320_G_L_gut_5_Series002</t>
  </si>
  <si>
    <t>20190320_G_L_gut_5_combined</t>
  </si>
  <si>
    <t>Guam x Guam</t>
  </si>
  <si>
    <t>Po cross (male x female)</t>
  </si>
  <si>
    <t>Le Reduit x Le Reduit</t>
  </si>
  <si>
    <t>Total # females:</t>
  </si>
  <si>
    <t># flies with 2 normal ovaries</t>
  </si>
  <si>
    <t># flies with 1 abnormal ovary</t>
  </si>
  <si>
    <t># flies with 2 abnormal ovaries</t>
  </si>
  <si>
    <t>Total count</t>
  </si>
  <si>
    <t>Total percentage</t>
  </si>
  <si>
    <t>n = 57</t>
  </si>
  <si>
    <t>p-values, compared to yw</t>
  </si>
  <si>
    <t>dcr-2 mutant, larval brain</t>
  </si>
  <si>
    <t>dcr-2 mutant, disc</t>
  </si>
  <si>
    <t>Su(var)3-9 mutant, larval brain</t>
  </si>
  <si>
    <t>Su(var)3-9 mutant, disc</t>
  </si>
  <si>
    <t>p-values</t>
  </si>
  <si>
    <t>C(1)RM/Y compared to X/Y, larval brain</t>
  </si>
  <si>
    <t>C(1)RM/Y compared to X/Y, disc</t>
  </si>
  <si>
    <t>C(1)RM/Y compared to X/Y, adult gut</t>
  </si>
  <si>
    <t>C(1)RM/Y compared to X/X, larval brain</t>
  </si>
  <si>
    <t>C(1)RM/Y compared to X/X, disc</t>
  </si>
  <si>
    <t>C(1)RM/Y compared to X/X, adult gut</t>
  </si>
  <si>
    <t>C(1)RM/Y compared to X/X, GSCs</t>
  </si>
  <si>
    <t>NA</t>
  </si>
  <si>
    <t>dcr-2 mutant, salivary gland</t>
  </si>
  <si>
    <t>dcr-2 mutant, larval fat body</t>
  </si>
  <si>
    <t>dcr-2 mutant, larval gut</t>
  </si>
  <si>
    <t>dcr-2 mutant, adult gut</t>
  </si>
  <si>
    <t>Su(var)3-9 mutant, salivary gland</t>
  </si>
  <si>
    <t>Su(var)3-9 mutant, larval fat body</t>
  </si>
  <si>
    <t>Su(var)3-9 mutant, larval gut</t>
  </si>
  <si>
    <t>Su(var)3-9 mutant, adult gut</t>
  </si>
  <si>
    <t>&lt;0.0001</t>
  </si>
  <si>
    <t>adult midgut</t>
  </si>
  <si>
    <t>larval ant/mid midgut</t>
  </si>
  <si>
    <t>female adult midgut</t>
  </si>
  <si>
    <t>female imaginal disc</t>
  </si>
  <si>
    <t>imaginal disc</t>
  </si>
  <si>
    <t>190911 slide, count on 9/16/19</t>
  </si>
  <si>
    <t>190912 slide, count on 9/17/19</t>
  </si>
  <si>
    <t>&lt;/=5do testes</t>
  </si>
  <si>
    <t>n = 20</t>
  </si>
  <si>
    <t>Stack:170911_ywkev_nucdom_GSCs_testes1.lif_Series011_Processed001_</t>
  </si>
  <si>
    <t>Stack:180312_ywkev_young_adult_SNP_testes1.xlef_Series005 - GSC2</t>
  </si>
  <si>
    <t>Stack:180312_ywkev_young_adult_SNP_testes2.xlef_Series004 - GSC4</t>
  </si>
  <si>
    <t>Stack:180312_ywkev_young_adult_SNP_testes3.xlef_Series006 - GSC2</t>
  </si>
  <si>
    <t>Stack:180312_ywkev_young_adult_SNP_testes4.xlef_Series005_Processe</t>
  </si>
  <si>
    <t>Stack:180312_ywkev_young_adult_SNP_testes5.xlef_Series006_Processe</t>
  </si>
  <si>
    <t>Stack:180312_ywkev_young_adult_SNP_testes6.lif_Series005 - GSC2</t>
  </si>
  <si>
    <t>Stack:180312_ywkev_young_adult_SNP_testes7.lif_Series004_Processed</t>
  </si>
  <si>
    <t>Stack:180312_ywkev_young_adult_SNP_testes8.lif_Series008_Processed</t>
  </si>
  <si>
    <t>Stack:180312_ywkev_young_adult_SNP_testes9.lif_Series009 - GSC2</t>
  </si>
  <si>
    <t>Stack:180312_ywkev_young_adult_SNP_testes10.lif_Series005_Processe</t>
  </si>
  <si>
    <t>180310_ywkev--suvar39_transhet_adult_testes1_Series007 - GSC2</t>
  </si>
  <si>
    <t>180310_ywkev--suvar39_transhet_adult_testes2_Series004</t>
  </si>
  <si>
    <t>180310_ywkev--suvar39_transhet_adult_testes3_Series005 - GSC2</t>
  </si>
  <si>
    <t>180310_ywkev--suvar39_transhet_adult_testes4_Series004</t>
  </si>
  <si>
    <t>180310_ywkev--suvar39_transhet_adult_testes5_Series005 - GSC3</t>
  </si>
  <si>
    <t>180310_ywkev--suvar39_transhet_adult_testes6_Series005</t>
  </si>
  <si>
    <t>180702_yw-suvar39-th_young_testes1_Series003 - GSC3</t>
  </si>
  <si>
    <t>180702_yw-suvar39-th_young_testes2_Series004</t>
  </si>
  <si>
    <t>180702_yw-suvar39-th_young_testes3_Series003 - GSC2</t>
  </si>
  <si>
    <t>180702_yw-suvar39-th_young_testes4_Series003 - GSC3</t>
  </si>
  <si>
    <t>180702_yw-suvar39-th_young_testes5_Series004 - GSC2</t>
  </si>
  <si>
    <t>180702_yw-suvar39-th_young_testes6_Series003 - GSC4</t>
  </si>
  <si>
    <t>180702_yw-suvar39-th_young_testes7_Series005</t>
  </si>
  <si>
    <t>180702_yw-suvar39-th_young_testes8_Series003</t>
  </si>
  <si>
    <t>180702_yw-suvar39-th_young_testes9_Series005</t>
  </si>
  <si>
    <t>180702_yw-suvar39-th_young_testes10_Series006</t>
  </si>
  <si>
    <t>180702_yw-suvar39-th_young_testes11_Series005</t>
  </si>
  <si>
    <t>180702_yw-suvar39-th_young_testes12_Series005</t>
  </si>
  <si>
    <t>180702_yw-suvar39-th_young_testes13_Series004</t>
  </si>
  <si>
    <t>180702_yw-suvar39-th_young_testes14_Series005</t>
  </si>
  <si>
    <t>180702_yw-suvar39-th_young_testes15_Series005</t>
  </si>
  <si>
    <t>180702_yw-suvar39-th_young_testes16_Series004</t>
  </si>
  <si>
    <t>180702_yw-suvar39-th_young_testes17_Series003</t>
  </si>
  <si>
    <t>180702_yw-suvar39-th_young_testes18_Series003</t>
  </si>
  <si>
    <t>180702_yw-suvar39-th_young_testes19_Series003</t>
  </si>
  <si>
    <t>180702_yw-suvar39-th_young_testes20_Series002</t>
  </si>
  <si>
    <t>180702_yw-suvar39-th_young_testes21_Series003</t>
  </si>
  <si>
    <t>180702_yw-suvar39-th_young_testes22_Series004</t>
  </si>
  <si>
    <t>180702_yw-suvar39-th_young_testes23_Series003</t>
  </si>
  <si>
    <t>180702_yw-suvar39-th_young_testes24_Series003</t>
  </si>
  <si>
    <t>180702_yw-suvar39-th_young_testes25_Series003</t>
  </si>
  <si>
    <t>180702_yw-suvar39-th_young_testes26_Series005</t>
  </si>
  <si>
    <t>180702_yw-suvar39-th_young_testes27_Series004</t>
  </si>
  <si>
    <t>180702_yw-suvar39-th_young_testes28_Series004</t>
  </si>
  <si>
    <t>180702_yw-suvar39-th_young_testes29_Series003</t>
  </si>
  <si>
    <t>180702_yw-suvar39-th_young_testes30_Series006</t>
  </si>
  <si>
    <t>180702_yw-suvar39-th_young_testes31_Series004</t>
  </si>
  <si>
    <t>180212_dcr2_th_B_testes1_Series008</t>
  </si>
  <si>
    <t>180212_dcr2_th_B_testes2_Series005 - GSC4</t>
  </si>
  <si>
    <t>180212_dcr2_th_B_testes3_Series004 - GSC2</t>
  </si>
  <si>
    <t>180212_dcr2_th_B_testes4_Series006 - GSC2</t>
  </si>
  <si>
    <t>180212_dcr2_th_B_testes5_Series005</t>
  </si>
  <si>
    <t>180212_dcr2_th_B_testes6_Series008</t>
  </si>
  <si>
    <t>180212_dcr-2_thA_snps_testes1_Series003 - GSC2</t>
  </si>
  <si>
    <t>180212_dcr-2_thA_snps_testes2_Series004 - GSC2</t>
  </si>
  <si>
    <t>180212_dcr-2_thA_snps_testes3_Series004 - GSC3</t>
  </si>
  <si>
    <t>180212_dcr-2_thA_snps_testes4_Series003 - GSC2</t>
  </si>
  <si>
    <t>180212_dcr-2_thA_snps_testes5_Series004 - GSC3</t>
  </si>
  <si>
    <t>180212_dcr-2_thA_snps_testes6_Series003</t>
  </si>
  <si>
    <t>180212_dcr-2_thA_snps_testes7_Series004 - GSC4</t>
  </si>
  <si>
    <t>180212_dcr-2_thA_snps_testes8_Series003 - GSC3</t>
  </si>
  <si>
    <t>180212_dcr-2_thA_snps_testes9_Series003</t>
  </si>
  <si>
    <t>n = 37</t>
  </si>
  <si>
    <t>190326_Xbb-Ybb+_70_Xsnp_SNPs_brain1_Image001</t>
  </si>
  <si>
    <t>190326_Xbb-Ybb+_70_Xsnp_SNPs_brain1_Image002</t>
  </si>
  <si>
    <t>190326_Xbb-Ybb+_70_Xsnp_SNPs_brain1_combined</t>
  </si>
  <si>
    <t>190326_Xbb-Ybb+_70_Xsnp_SNPs_brain2_Image001</t>
  </si>
  <si>
    <t>190326_Xbb-Ybb+_70_Xsnp_SNPs_brain2_Image002</t>
  </si>
  <si>
    <t>190326_Xbb-Ybb+_70_Xsnp_SNPs_brain2_combined</t>
  </si>
  <si>
    <t>190326_Xbb-Ybb+_70_Xsnp_SNPs_brain3_Image001</t>
  </si>
  <si>
    <t>190326_Xbb-Ybb+_70_Xsnp_SNPs_brain3_Image002</t>
  </si>
  <si>
    <t>190326_Xbb-Ybb+_70_Xsnp_SNPs_brain3_combined</t>
  </si>
  <si>
    <t>190326_Xbb-Ybb+_70_Xsnp_SNPs_brain4_Image001</t>
  </si>
  <si>
    <t>190326_Xbb-Ybb+_70_Xsnp_SNPs_brain4_Image002</t>
  </si>
  <si>
    <t>190326_Xbb-Ybb+_70_Xsnp_SNPs_brain4_combined</t>
  </si>
  <si>
    <t>190326_Xbb-Ybb+_70_Xsnp_SNPs_brain5_Image001</t>
  </si>
  <si>
    <t>190326_Xbb-Ybb+_70_Xsnp_SNPs_brain5_Image002</t>
  </si>
  <si>
    <t>190326_Xbb-Ybb+_70_Xsnp_SNPs_brain5_combined</t>
  </si>
  <si>
    <t>190326_Xbb-Ybb+_70_Xsnp_SNPs_brain6_Image001</t>
  </si>
  <si>
    <t>190326_Xbb-Ybb+_70_Xsnp_SNPs_brain6_Image002</t>
  </si>
  <si>
    <t>190326_Xbb-Ybb+_70_Xsnp_SNPs_brain6_combined</t>
  </si>
  <si>
    <t>190326_Xbb-Ybb+_70_Xsnp_SNPs_brain7_Image001</t>
  </si>
  <si>
    <t>190326_Xbb-Ybb+_70_Xsnp_SNPs_brain7_Image002</t>
  </si>
  <si>
    <t>190326_Xbb-Ybb+_70_Xsnp_SNPs_brain7_combined</t>
  </si>
  <si>
    <t>190326_Xbb-Ybb+_70_Xsnp_SNPs_brain8_Image001</t>
  </si>
  <si>
    <t>190326_Xbb-Ybb+_70_Xsnp_SNPs_brain8_Image002</t>
  </si>
  <si>
    <t>190326_Xbb-Ybb+_70_Xsnp_SNPs_brain8_combined</t>
  </si>
  <si>
    <t>Xbb-YS/X</t>
  </si>
  <si>
    <t>190326_Xbb-Ybb+_70_Xsnp_SNPs_disc1_Image001</t>
  </si>
  <si>
    <t>190326_Xbb-Ybb+_70_Xsnp_SNPs_disc1_Image002</t>
  </si>
  <si>
    <t>190326_Xbb-Ybb+_70_Xsnp_SNPs_disc1_combined</t>
  </si>
  <si>
    <t>190326_Xbb-Ybb+_70_Xsnp_SNPs_disc2_Image001</t>
  </si>
  <si>
    <t>190326_Xbb-Ybb+_70_Xsnp_SNPs_disc2_Image002</t>
  </si>
  <si>
    <t>190326_Xbb-Ybb+_70_Xsnp_SNPs_disc2_combined</t>
  </si>
  <si>
    <t>190326_Xbb-Ybb+_70_Xsnp_SNPs_disc3_Image001</t>
  </si>
  <si>
    <t>190326_Xbb-Ybb+_70_Xsnp_SNPs_disc3_Image002</t>
  </si>
  <si>
    <t>190326_Xbb-Ybb+_70_Xsnp_SNPs_disc3_combined</t>
  </si>
  <si>
    <t>190326_Xbb-Ybb+_70_Xsnp_SNPs_disc4_Image001</t>
  </si>
  <si>
    <t>190326_Xbb-Ybb+_70_Xsnp_SNPs_disc4_Image002</t>
  </si>
  <si>
    <t>190326_Xbb-Ybb+_70_Xsnp_SNPs_disc4_combined</t>
  </si>
  <si>
    <t>190326_Xbb-Ybb+_70_Xsnp_SNPs_disc5_Image001</t>
  </si>
  <si>
    <t>190326_Xbb-Ybb+_70_Xsnp_SNPs_disc5_Image002</t>
  </si>
  <si>
    <t>190326_Xbb-Ybb+_70_Xsnp_SNPs_disc5_combined</t>
  </si>
  <si>
    <t>190326_Xbb-Ybb+_70_Xsnp_SNPs_disc6_Image001</t>
  </si>
  <si>
    <t>190326_Xbb-Ybb+_70_Xsnp_SNPs_disc6_Image002</t>
  </si>
  <si>
    <t>190326_Xbb-Ybb+_70_Xsnp_SNPs_disc6_combined</t>
  </si>
  <si>
    <t>190326_Xbb-Ybb+_70_Xsnp_SNPs_disc7_Image001</t>
  </si>
  <si>
    <t>190326_Xbb-Ybb+_70_Xsnp_SNPs_disc7_Image002</t>
  </si>
  <si>
    <t>190326_Xbb-Ybb+_70_Xsnp_SNPs_disc7_combined</t>
  </si>
  <si>
    <t>190326_Xbb-Ybb+_70_Xsnp_SNPs_disc8_Image001</t>
  </si>
  <si>
    <t>190326_Xbb-Ybb+_70_Xsnp_SNPs_disc8_Image002</t>
  </si>
  <si>
    <t>190326_Xbb-Ybb+_70_Xsnp_SNPs_disc8_combined</t>
  </si>
  <si>
    <t>190326_Xbb-Ybb+_70_Xsnp_SNPs_disc9_Image001</t>
  </si>
  <si>
    <t>190326_Xbb-Ybb+_70_Xsnp_SNPs_disc9_Image002</t>
  </si>
  <si>
    <t>190326_Xbb-Ybb+_70_Xsnp_SNPs_disc9_combined</t>
  </si>
  <si>
    <t>Xbb-YS/X compared to X/X, larval brain</t>
  </si>
  <si>
    <t>Xbb-YS/X compared to X/X, disc</t>
  </si>
  <si>
    <t>Xbb-YS/X compared to X/X, adult gut</t>
  </si>
  <si>
    <t>Xbb-YS/X compared to X/X, GSCs</t>
  </si>
  <si>
    <t>Xbb-YS/X compared to C(1)RM/Y, larval brain</t>
  </si>
  <si>
    <t>Xbb-YS/X compared to C(1)RM/Y, disc</t>
  </si>
  <si>
    <t>Xbb-YS/X compared to C(1)RM/Y, adult gut</t>
  </si>
  <si>
    <t>p-values, compared to non-dysgenic cross (Figure 4)</t>
  </si>
  <si>
    <t>% ITS+ rDNA dominant</t>
  </si>
  <si>
    <t>% ITSd24 rDNA dominant</t>
  </si>
  <si>
    <t>GSCs</t>
  </si>
  <si>
    <t>191106 snp in situ, maternal = t3</t>
  </si>
  <si>
    <t>191112 snp in situ, maternal = t3</t>
  </si>
  <si>
    <t>191106 snp in situ, maternal = t2</t>
  </si>
  <si>
    <t>191112 snp in situ, maternal = t2</t>
  </si>
  <si>
    <t>yw;;Su(var)3-9[1]/Su(var)3-9[2]</t>
  </si>
  <si>
    <t>yw;dcr-2[p{f0654}]/dcr-2[L811fsx]</t>
  </si>
  <si>
    <t>yw; piwi[1]/piwi[06854]</t>
  </si>
  <si>
    <t>yw;;ago3[t2]/ago3[t3]</t>
  </si>
  <si>
    <t>n = 28</t>
  </si>
  <si>
    <t>dcr-2 trans-heterozygous GSCs</t>
  </si>
  <si>
    <t>Su(var)3-9 trans-heterozygous GSCs</t>
  </si>
  <si>
    <t>piwi trans-heterozgous GSCs</t>
  </si>
  <si>
    <t>ago3 trans-heterozygous GSCs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</si>
</sst>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theme="2" tint="-9.9978637043366805E-2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2" xfId="0" applyBorder="1"/>
    <xf numFmtId="0" fontId="1" fillId="0" borderId="2" xfId="0" applyFont="1" applyBorder="1"/>
    <xf numFmtId="0" fontId="1" fillId="3" borderId="2" xfId="0" applyFont="1" applyFill="1" applyBorder="1"/>
    <xf numFmtId="0" fontId="0" fillId="4" borderId="2" xfId="0" applyFill="1" applyBorder="1"/>
    <xf numFmtId="0" fontId="0" fillId="3" borderId="2" xfId="0" applyFill="1" applyBorder="1"/>
    <xf numFmtId="0" fontId="1" fillId="4" borderId="2" xfId="0" applyFont="1" applyFill="1" applyBorder="1"/>
    <xf numFmtId="0" fontId="0" fillId="0" borderId="0" xfId="0" applyBorder="1"/>
    <xf numFmtId="0" fontId="0" fillId="6" borderId="0" xfId="0" applyFill="1" applyBorder="1"/>
    <xf numFmtId="0" fontId="2" fillId="7" borderId="2" xfId="0" applyFont="1" applyFill="1" applyBorder="1"/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3" fillId="2" borderId="2" xfId="0" applyFont="1" applyFill="1" applyBorder="1"/>
    <xf numFmtId="0" fontId="3" fillId="3" borderId="2" xfId="0" applyFont="1" applyFill="1" applyBorder="1"/>
    <xf numFmtId="0" fontId="3" fillId="0" borderId="2" xfId="0" applyFont="1" applyFill="1" applyBorder="1"/>
    <xf numFmtId="0" fontId="4" fillId="0" borderId="2" xfId="0" applyFont="1" applyBorder="1"/>
    <xf numFmtId="0" fontId="3" fillId="4" borderId="2" xfId="0" applyFont="1" applyFill="1" applyBorder="1"/>
    <xf numFmtId="0" fontId="4" fillId="4" borderId="2" xfId="0" applyFont="1" applyFill="1" applyBorder="1"/>
    <xf numFmtId="0" fontId="4" fillId="0" borderId="0" xfId="0" applyFont="1"/>
    <xf numFmtId="0" fontId="3" fillId="3" borderId="3" xfId="0" applyFont="1" applyFill="1" applyBorder="1"/>
    <xf numFmtId="0" fontId="4" fillId="3" borderId="3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4" fillId="3" borderId="5" xfId="0" applyFont="1" applyFill="1" applyBorder="1"/>
    <xf numFmtId="0" fontId="4" fillId="0" borderId="4" xfId="0" applyFont="1" applyFill="1" applyBorder="1"/>
    <xf numFmtId="0" fontId="4" fillId="0" borderId="2" xfId="0" applyFont="1" applyFill="1" applyBorder="1"/>
    <xf numFmtId="0" fontId="3" fillId="0" borderId="0" xfId="0" applyFont="1" applyFill="1" applyBorder="1"/>
    <xf numFmtId="0" fontId="4" fillId="0" borderId="3" xfId="0" applyFont="1" applyFill="1" applyBorder="1"/>
    <xf numFmtId="0" fontId="3" fillId="4" borderId="3" xfId="0" applyFont="1" applyFill="1" applyBorder="1"/>
    <xf numFmtId="0" fontId="4" fillId="3" borderId="2" xfId="0" applyFont="1" applyFill="1" applyBorder="1"/>
    <xf numFmtId="0" fontId="4" fillId="0" borderId="0" xfId="0" applyFont="1" applyFill="1"/>
    <xf numFmtId="0" fontId="3" fillId="0" borderId="0" xfId="0" applyFont="1" applyFill="1"/>
    <xf numFmtId="0" fontId="5" fillId="7" borderId="2" xfId="0" applyFont="1" applyFill="1" applyBorder="1"/>
    <xf numFmtId="0" fontId="3" fillId="0" borderId="0" xfId="0" applyFont="1"/>
    <xf numFmtId="0" fontId="4" fillId="5" borderId="2" xfId="0" applyFont="1" applyFill="1" applyBorder="1"/>
    <xf numFmtId="0" fontId="4" fillId="0" borderId="0" xfId="0" applyFont="1" applyFill="1" applyBorder="1"/>
    <xf numFmtId="0" fontId="4" fillId="0" borderId="0" xfId="0" applyFont="1" applyBorder="1"/>
    <xf numFmtId="0" fontId="3" fillId="2" borderId="1" xfId="0" applyFont="1" applyFill="1" applyBorder="1"/>
    <xf numFmtId="0" fontId="3" fillId="2" borderId="6" xfId="0" applyFont="1" applyFill="1" applyBorder="1"/>
    <xf numFmtId="0" fontId="3" fillId="2" borderId="4" xfId="0" applyFont="1" applyFill="1" applyBorder="1"/>
    <xf numFmtId="0" fontId="3" fillId="0" borderId="2" xfId="0" applyFont="1" applyBorder="1" applyAlignment="1">
      <alignment horizontal="center"/>
    </xf>
    <xf numFmtId="0" fontId="5" fillId="4" borderId="2" xfId="0" applyFont="1" applyFill="1" applyBorder="1"/>
    <xf numFmtId="0" fontId="3" fillId="0" borderId="8" xfId="0" applyFont="1" applyFill="1" applyBorder="1"/>
    <xf numFmtId="0" fontId="4" fillId="0" borderId="8" xfId="0" applyFont="1" applyFill="1" applyBorder="1"/>
    <xf numFmtId="0" fontId="5" fillId="4" borderId="5" xfId="0" applyFont="1" applyFill="1" applyBorder="1"/>
    <xf numFmtId="0" fontId="5" fillId="0" borderId="0" xfId="0" applyFont="1" applyFill="1" applyBorder="1"/>
    <xf numFmtId="0" fontId="5" fillId="7" borderId="3" xfId="0" applyFont="1" applyFill="1" applyBorder="1"/>
    <xf numFmtId="0" fontId="5" fillId="0" borderId="3" xfId="0" applyFont="1" applyFill="1" applyBorder="1"/>
    <xf numFmtId="0" fontId="5" fillId="0" borderId="2" xfId="0" applyFont="1" applyBorder="1"/>
    <xf numFmtId="0" fontId="5" fillId="8" borderId="2" xfId="0" applyFont="1" applyFill="1" applyBorder="1"/>
    <xf numFmtId="0" fontId="4" fillId="9" borderId="2" xfId="0" applyFont="1" applyFill="1" applyBorder="1"/>
    <xf numFmtId="0" fontId="5" fillId="10" borderId="2" xfId="0" applyFont="1" applyFill="1" applyBorder="1"/>
    <xf numFmtId="0" fontId="6" fillId="10" borderId="2" xfId="0" applyFont="1" applyFill="1" applyBorder="1"/>
    <xf numFmtId="0" fontId="5" fillId="0" borderId="2" xfId="0" applyFont="1" applyFill="1" applyBorder="1"/>
    <xf numFmtId="0" fontId="6" fillId="0" borderId="2" xfId="0" applyFont="1" applyFill="1" applyBorder="1"/>
    <xf numFmtId="0" fontId="5" fillId="11" borderId="2" xfId="0" applyFont="1" applyFill="1" applyBorder="1"/>
    <xf numFmtId="0" fontId="3" fillId="6" borderId="2" xfId="0" applyFont="1" applyFill="1" applyBorder="1"/>
    <xf numFmtId="0" fontId="4" fillId="6" borderId="2" xfId="0" applyFont="1" applyFill="1" applyBorder="1"/>
    <xf numFmtId="0" fontId="6" fillId="0" borderId="2" xfId="0" applyFont="1" applyBorder="1"/>
    <xf numFmtId="0" fontId="6" fillId="0" borderId="3" xfId="0" applyFont="1" applyBorder="1"/>
    <xf numFmtId="0" fontId="6" fillId="9" borderId="3" xfId="0" applyFont="1" applyFill="1" applyBorder="1"/>
    <xf numFmtId="14" fontId="3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/>
    <xf numFmtId="14" fontId="5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3" fillId="0" borderId="2" xfId="0" applyFont="1" applyBorder="1" applyAlignment="1"/>
    <xf numFmtId="0" fontId="4" fillId="0" borderId="0" xfId="0" applyFont="1" applyAlignment="1">
      <alignment vertical="center"/>
    </xf>
    <xf numFmtId="14" fontId="4" fillId="0" borderId="0" xfId="0" applyNumberFormat="1" applyFont="1"/>
    <xf numFmtId="0" fontId="4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A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4F22A-978C-3447-ACB5-16C8DF37616B}">
  <dimension ref="A1:J76"/>
  <sheetViews>
    <sheetView tabSelected="1" zoomScale="64" workbookViewId="0">
      <pane ySplit="1" topLeftCell="A2" activePane="bottomLeft" state="frozen"/>
      <selection pane="bottomLeft" activeCell="D14" sqref="D14"/>
    </sheetView>
  </sheetViews>
  <sheetFormatPr baseColWidth="10" defaultRowHeight="16"/>
  <cols>
    <col min="1" max="1" width="52.1640625" bestFit="1" customWidth="1"/>
    <col min="2" max="2" width="31.83203125" bestFit="1" customWidth="1"/>
    <col min="3" max="3" width="10.33203125" bestFit="1" customWidth="1"/>
    <col min="4" max="5" width="25.5" bestFit="1" customWidth="1"/>
    <col min="6" max="6" width="20.5" bestFit="1" customWidth="1"/>
    <col min="7" max="8" width="21" bestFit="1" customWidth="1"/>
    <col min="9" max="9" width="15.33203125" bestFit="1" customWidth="1"/>
    <col min="10" max="10" width="19" bestFit="1" customWidth="1"/>
  </cols>
  <sheetData>
    <row r="1" spans="1:10">
      <c r="A1" s="12" t="s">
        <v>0</v>
      </c>
      <c r="B1" s="12" t="s">
        <v>25</v>
      </c>
      <c r="C1" s="12" t="s">
        <v>26</v>
      </c>
      <c r="D1" s="12" t="s">
        <v>573</v>
      </c>
      <c r="E1" s="12" t="s">
        <v>574</v>
      </c>
      <c r="F1" s="12" t="s">
        <v>575</v>
      </c>
      <c r="G1" s="13" t="s">
        <v>576</v>
      </c>
      <c r="H1" s="13" t="s">
        <v>577</v>
      </c>
      <c r="I1" s="13" t="s">
        <v>578</v>
      </c>
      <c r="J1" s="12" t="s">
        <v>491</v>
      </c>
    </row>
    <row r="2" spans="1:10">
      <c r="A2" s="14" t="s">
        <v>421</v>
      </c>
      <c r="B2" s="15" t="s">
        <v>571</v>
      </c>
      <c r="C2" s="15" t="s">
        <v>500</v>
      </c>
      <c r="D2" s="15">
        <v>0</v>
      </c>
      <c r="E2" s="15">
        <v>0</v>
      </c>
      <c r="F2" s="15">
        <v>81</v>
      </c>
      <c r="G2" s="15"/>
      <c r="H2" s="15"/>
      <c r="I2" s="15"/>
      <c r="J2" s="15"/>
    </row>
    <row r="3" spans="1:10">
      <c r="A3" s="14" t="s">
        <v>422</v>
      </c>
      <c r="B3" s="15" t="s">
        <v>571</v>
      </c>
      <c r="C3" s="15" t="s">
        <v>500</v>
      </c>
      <c r="D3" s="15">
        <v>0</v>
      </c>
      <c r="E3" s="15">
        <v>0</v>
      </c>
      <c r="F3" s="15">
        <v>40</v>
      </c>
      <c r="G3" s="15"/>
      <c r="H3" s="15"/>
      <c r="I3" s="15"/>
      <c r="J3" s="15"/>
    </row>
    <row r="4" spans="1:10">
      <c r="A4" s="16" t="s">
        <v>423</v>
      </c>
      <c r="B4" s="17" t="s">
        <v>571</v>
      </c>
      <c r="C4" s="17" t="s">
        <v>500</v>
      </c>
      <c r="D4" s="17">
        <f>SUM(D2:D3)</f>
        <v>0</v>
      </c>
      <c r="E4" s="17">
        <f>SUM(E2:E3)</f>
        <v>0</v>
      </c>
      <c r="F4" s="17">
        <f t="shared" ref="F4" si="0">SUM(F2:F3)</f>
        <v>121</v>
      </c>
      <c r="G4" s="17">
        <f>D4/SUM(D4:F4)*100</f>
        <v>0</v>
      </c>
      <c r="H4" s="17">
        <f>E4/SUM(D4:F4)*100</f>
        <v>0</v>
      </c>
      <c r="I4" s="17">
        <f>F4/SUM(D4:F4)*100</f>
        <v>100</v>
      </c>
      <c r="J4" s="17">
        <f>SUM(D4:F4)</f>
        <v>121</v>
      </c>
    </row>
    <row r="5" spans="1:10">
      <c r="A5" s="14" t="s">
        <v>424</v>
      </c>
      <c r="B5" s="15" t="s">
        <v>571</v>
      </c>
      <c r="C5" s="15" t="s">
        <v>500</v>
      </c>
      <c r="D5" s="15">
        <v>5</v>
      </c>
      <c r="E5" s="15">
        <f>58-28</f>
        <v>30</v>
      </c>
      <c r="F5" s="15">
        <f>33-5</f>
        <v>28</v>
      </c>
      <c r="G5" s="15"/>
      <c r="H5" s="15"/>
      <c r="I5" s="15"/>
      <c r="J5" s="15"/>
    </row>
    <row r="6" spans="1:10">
      <c r="A6" s="14" t="s">
        <v>425</v>
      </c>
      <c r="B6" s="15" t="s">
        <v>571</v>
      </c>
      <c r="C6" s="15" t="s">
        <v>500</v>
      </c>
      <c r="D6" s="15">
        <v>0</v>
      </c>
      <c r="E6" s="15">
        <f>40-26</f>
        <v>14</v>
      </c>
      <c r="F6" s="15">
        <v>26</v>
      </c>
      <c r="G6" s="15"/>
      <c r="H6" s="15"/>
      <c r="I6" s="15"/>
      <c r="J6" s="15"/>
    </row>
    <row r="7" spans="1:10">
      <c r="A7" s="16" t="s">
        <v>426</v>
      </c>
      <c r="B7" s="17" t="s">
        <v>571</v>
      </c>
      <c r="C7" s="17" t="s">
        <v>500</v>
      </c>
      <c r="D7" s="17">
        <f>SUM(D6:D6)</f>
        <v>0</v>
      </c>
      <c r="E7" s="17">
        <f>SUM(E6:E6)</f>
        <v>14</v>
      </c>
      <c r="F7" s="17">
        <f>SUM(F6:F6)</f>
        <v>26</v>
      </c>
      <c r="G7" s="17">
        <f t="shared" ref="G7:G12" si="1">D7/SUM(D7:F7)*100</f>
        <v>0</v>
      </c>
      <c r="H7" s="17">
        <f t="shared" ref="H7:H12" si="2">E7/SUM(D7:F7)*100</f>
        <v>35</v>
      </c>
      <c r="I7" s="17">
        <f t="shared" ref="I7:I12" si="3">F7/SUM(D7:F7)*100</f>
        <v>65</v>
      </c>
      <c r="J7" s="17">
        <f t="shared" ref="J7:J12" si="4">SUM(D7:F7)</f>
        <v>40</v>
      </c>
    </row>
    <row r="8" spans="1:10">
      <c r="A8" s="16" t="s">
        <v>427</v>
      </c>
      <c r="B8" s="17" t="s">
        <v>571</v>
      </c>
      <c r="C8" s="17" t="s">
        <v>500</v>
      </c>
      <c r="D8" s="17">
        <v>0</v>
      </c>
      <c r="E8" s="17">
        <v>0</v>
      </c>
      <c r="F8" s="17">
        <v>108</v>
      </c>
      <c r="G8" s="17">
        <f t="shared" si="1"/>
        <v>0</v>
      </c>
      <c r="H8" s="17">
        <f t="shared" si="2"/>
        <v>0</v>
      </c>
      <c r="I8" s="17">
        <f t="shared" si="3"/>
        <v>100</v>
      </c>
      <c r="J8" s="17">
        <f t="shared" si="4"/>
        <v>108</v>
      </c>
    </row>
    <row r="9" spans="1:10">
      <c r="A9" s="16" t="s">
        <v>428</v>
      </c>
      <c r="B9" s="17" t="s">
        <v>571</v>
      </c>
      <c r="C9" s="17" t="s">
        <v>500</v>
      </c>
      <c r="D9" s="17">
        <v>0</v>
      </c>
      <c r="E9" s="17">
        <v>0</v>
      </c>
      <c r="F9" s="17">
        <v>96</v>
      </c>
      <c r="G9" s="17">
        <f t="shared" si="1"/>
        <v>0</v>
      </c>
      <c r="H9" s="17">
        <f t="shared" si="2"/>
        <v>0</v>
      </c>
      <c r="I9" s="17">
        <f t="shared" si="3"/>
        <v>100</v>
      </c>
      <c r="J9" s="17">
        <f t="shared" si="4"/>
        <v>96</v>
      </c>
    </row>
    <row r="10" spans="1:10">
      <c r="A10" s="16" t="s">
        <v>429</v>
      </c>
      <c r="B10" s="17" t="s">
        <v>571</v>
      </c>
      <c r="C10" s="17" t="s">
        <v>500</v>
      </c>
      <c r="D10" s="17">
        <v>1</v>
      </c>
      <c r="E10" s="17">
        <v>1</v>
      </c>
      <c r="F10" s="17">
        <v>145</v>
      </c>
      <c r="G10" s="17">
        <f t="shared" si="1"/>
        <v>0.68027210884353739</v>
      </c>
      <c r="H10" s="17">
        <f t="shared" si="2"/>
        <v>0.68027210884353739</v>
      </c>
      <c r="I10" s="17">
        <f t="shared" si="3"/>
        <v>98.639455782312922</v>
      </c>
      <c r="J10" s="17">
        <f t="shared" si="4"/>
        <v>147</v>
      </c>
    </row>
    <row r="11" spans="1:10">
      <c r="A11" s="16" t="s">
        <v>430</v>
      </c>
      <c r="B11" s="17" t="s">
        <v>571</v>
      </c>
      <c r="C11" s="17" t="s">
        <v>500</v>
      </c>
      <c r="D11" s="17">
        <v>0</v>
      </c>
      <c r="E11" s="17">
        <v>0</v>
      </c>
      <c r="F11" s="17">
        <v>150</v>
      </c>
      <c r="G11" s="17">
        <f t="shared" si="1"/>
        <v>0</v>
      </c>
      <c r="H11" s="17">
        <f t="shared" si="2"/>
        <v>0</v>
      </c>
      <c r="I11" s="17">
        <f t="shared" si="3"/>
        <v>100</v>
      </c>
      <c r="J11" s="17">
        <f t="shared" si="4"/>
        <v>150</v>
      </c>
    </row>
    <row r="12" spans="1:10">
      <c r="A12" s="16" t="s">
        <v>431</v>
      </c>
      <c r="B12" s="17" t="s">
        <v>571</v>
      </c>
      <c r="C12" s="17" t="s">
        <v>500</v>
      </c>
      <c r="D12" s="17">
        <v>0</v>
      </c>
      <c r="E12" s="17">
        <v>0</v>
      </c>
      <c r="F12" s="17">
        <v>86</v>
      </c>
      <c r="G12" s="17">
        <f t="shared" si="1"/>
        <v>0</v>
      </c>
      <c r="H12" s="17">
        <f t="shared" si="2"/>
        <v>0</v>
      </c>
      <c r="I12" s="17">
        <f t="shared" si="3"/>
        <v>100</v>
      </c>
      <c r="J12" s="17">
        <f t="shared" si="4"/>
        <v>86</v>
      </c>
    </row>
    <row r="13" spans="1:10">
      <c r="A13" s="16" t="s">
        <v>420</v>
      </c>
      <c r="B13" s="18"/>
      <c r="C13" s="18"/>
      <c r="D13" s="18"/>
      <c r="E13" s="18"/>
      <c r="F13" s="19" t="s">
        <v>22</v>
      </c>
      <c r="G13" s="20">
        <f>AVERAGE(G4,G7:G12)</f>
        <v>9.718172983479105E-2</v>
      </c>
      <c r="H13" s="20">
        <f>AVERAGE(H4,H7:H12)</f>
        <v>5.0971817298347917</v>
      </c>
      <c r="I13" s="20">
        <f t="shared" ref="I13" si="5">AVERAGE(I4,I7:I12)</f>
        <v>94.805636540330411</v>
      </c>
      <c r="J13" s="21" t="s">
        <v>492</v>
      </c>
    </row>
    <row r="14" spans="1:10">
      <c r="A14" s="18"/>
      <c r="B14" s="18"/>
      <c r="C14" s="18"/>
      <c r="D14" s="18"/>
      <c r="E14" s="18"/>
      <c r="F14" s="22" t="s">
        <v>570</v>
      </c>
      <c r="G14" s="23">
        <f>STDEV(G4,G7:G12)</f>
        <v>0.25711868912192326</v>
      </c>
      <c r="H14" s="23">
        <f>STDEV(H4,H7:H12)</f>
        <v>13.18834042524772</v>
      </c>
      <c r="I14" s="23">
        <f t="shared" ref="I14" si="6">STDEV(I4,I7:I12)</f>
        <v>13.152827315259596</v>
      </c>
      <c r="J14" s="24">
        <f>SUM(J4,J7:J12)</f>
        <v>748</v>
      </c>
    </row>
    <row r="15" spans="1:10">
      <c r="A15" s="14" t="s">
        <v>432</v>
      </c>
      <c r="B15" s="15" t="s">
        <v>502</v>
      </c>
      <c r="C15" s="15" t="s">
        <v>500</v>
      </c>
      <c r="D15" s="15">
        <v>3</v>
      </c>
      <c r="E15" s="15">
        <f>50-14</f>
        <v>36</v>
      </c>
      <c r="F15" s="15">
        <v>14</v>
      </c>
      <c r="G15" s="15"/>
      <c r="H15" s="15"/>
      <c r="I15" s="15"/>
      <c r="J15" s="15"/>
    </row>
    <row r="16" spans="1:10">
      <c r="A16" s="14" t="s">
        <v>433</v>
      </c>
      <c r="B16" s="15" t="s">
        <v>502</v>
      </c>
      <c r="C16" s="15" t="s">
        <v>500</v>
      </c>
      <c r="D16" s="15">
        <v>0</v>
      </c>
      <c r="E16" s="15">
        <v>30</v>
      </c>
      <c r="F16" s="15">
        <v>32</v>
      </c>
      <c r="G16" s="15"/>
      <c r="H16" s="15"/>
      <c r="I16" s="15"/>
      <c r="J16" s="15"/>
    </row>
    <row r="17" spans="1:10">
      <c r="A17" s="16" t="s">
        <v>434</v>
      </c>
      <c r="B17" s="17" t="s">
        <v>502</v>
      </c>
      <c r="C17" s="17" t="s">
        <v>500</v>
      </c>
      <c r="D17" s="17">
        <f>SUM(D15:D16)</f>
        <v>3</v>
      </c>
      <c r="E17" s="17">
        <f>SUM(E15:E16)</f>
        <v>66</v>
      </c>
      <c r="F17" s="17">
        <f t="shared" ref="F17" si="7">SUM(F15:F16)</f>
        <v>46</v>
      </c>
      <c r="G17" s="17">
        <f>D17/SUM(D17:F17)*100</f>
        <v>2.6086956521739131</v>
      </c>
      <c r="H17" s="17">
        <f>E17/SUM(D17:F17)*100</f>
        <v>57.391304347826086</v>
      </c>
      <c r="I17" s="17">
        <f>F17/SUM(D17:F17)*100</f>
        <v>40</v>
      </c>
      <c r="J17" s="17">
        <f>SUM(D17:F17)</f>
        <v>115</v>
      </c>
    </row>
    <row r="18" spans="1:10">
      <c r="A18" s="14" t="s">
        <v>435</v>
      </c>
      <c r="B18" s="15" t="s">
        <v>502</v>
      </c>
      <c r="C18" s="15" t="s">
        <v>500</v>
      </c>
      <c r="D18" s="15">
        <v>1</v>
      </c>
      <c r="E18" s="15">
        <v>12</v>
      </c>
      <c r="F18" s="15">
        <v>5</v>
      </c>
      <c r="G18" s="15"/>
      <c r="H18" s="15"/>
      <c r="I18" s="15"/>
      <c r="J18" s="15"/>
    </row>
    <row r="19" spans="1:10">
      <c r="A19" s="14" t="s">
        <v>436</v>
      </c>
      <c r="B19" s="15" t="s">
        <v>502</v>
      </c>
      <c r="C19" s="15" t="s">
        <v>500</v>
      </c>
      <c r="D19" s="15">
        <v>0</v>
      </c>
      <c r="E19" s="15">
        <f>22-5</f>
        <v>17</v>
      </c>
      <c r="F19" s="15">
        <v>5</v>
      </c>
      <c r="G19" s="15"/>
      <c r="H19" s="15"/>
      <c r="I19" s="15"/>
      <c r="J19" s="15"/>
    </row>
    <row r="20" spans="1:10">
      <c r="A20" s="16" t="s">
        <v>437</v>
      </c>
      <c r="B20" s="17" t="s">
        <v>502</v>
      </c>
      <c r="C20" s="17" t="s">
        <v>500</v>
      </c>
      <c r="D20" s="17">
        <f>SUM(D18:D19)</f>
        <v>1</v>
      </c>
      <c r="E20" s="17">
        <f>SUM(E18:E19)</f>
        <v>29</v>
      </c>
      <c r="F20" s="17">
        <f t="shared" ref="F20" si="8">SUM(F18:F19)</f>
        <v>10</v>
      </c>
      <c r="G20" s="17">
        <f>D20/SUM(D20:F20)*100</f>
        <v>2.5</v>
      </c>
      <c r="H20" s="17">
        <f>E20/SUM(D20:F20)*100</f>
        <v>72.5</v>
      </c>
      <c r="I20" s="17">
        <f>F20/SUM(D20:F20)*100</f>
        <v>25</v>
      </c>
      <c r="J20" s="17">
        <f>SUM(D20:F20)</f>
        <v>40</v>
      </c>
    </row>
    <row r="21" spans="1:10">
      <c r="A21" s="14" t="s">
        <v>438</v>
      </c>
      <c r="B21" s="15" t="s">
        <v>502</v>
      </c>
      <c r="C21" s="15" t="s">
        <v>500</v>
      </c>
      <c r="D21" s="15">
        <v>0</v>
      </c>
      <c r="E21" s="15">
        <f>34-13</f>
        <v>21</v>
      </c>
      <c r="F21" s="15">
        <v>13</v>
      </c>
      <c r="G21" s="15"/>
      <c r="H21" s="15"/>
      <c r="I21" s="15"/>
      <c r="J21" s="15"/>
    </row>
    <row r="22" spans="1:10">
      <c r="A22" s="14" t="s">
        <v>439</v>
      </c>
      <c r="B22" s="15" t="s">
        <v>502</v>
      </c>
      <c r="C22" s="15" t="s">
        <v>500</v>
      </c>
      <c r="D22" s="15">
        <v>0</v>
      </c>
      <c r="E22" s="15">
        <f>49-24</f>
        <v>25</v>
      </c>
      <c r="F22" s="15">
        <v>24</v>
      </c>
      <c r="G22" s="15"/>
      <c r="H22" s="15"/>
      <c r="I22" s="15"/>
      <c r="J22" s="15"/>
    </row>
    <row r="23" spans="1:10">
      <c r="A23" s="16" t="s">
        <v>440</v>
      </c>
      <c r="B23" s="17" t="s">
        <v>502</v>
      </c>
      <c r="C23" s="17" t="s">
        <v>500</v>
      </c>
      <c r="D23" s="17">
        <f>SUM(D21:D22)</f>
        <v>0</v>
      </c>
      <c r="E23" s="17">
        <f>SUM(E21:E22)</f>
        <v>46</v>
      </c>
      <c r="F23" s="17">
        <f t="shared" ref="F23" si="9">SUM(F21:F22)</f>
        <v>37</v>
      </c>
      <c r="G23" s="17">
        <f>D23/SUM(D23:F23)*100</f>
        <v>0</v>
      </c>
      <c r="H23" s="17">
        <f>E23/SUM(D23:F23)*100</f>
        <v>55.421686746987952</v>
      </c>
      <c r="I23" s="17">
        <f>F23/SUM(D23:F23)*100</f>
        <v>44.578313253012048</v>
      </c>
      <c r="J23" s="17">
        <f>SUM(D23:F23)</f>
        <v>83</v>
      </c>
    </row>
    <row r="24" spans="1:10">
      <c r="A24" s="16" t="s">
        <v>441</v>
      </c>
      <c r="B24" s="17" t="s">
        <v>502</v>
      </c>
      <c r="C24" s="17" t="s">
        <v>500</v>
      </c>
      <c r="D24" s="17">
        <v>1</v>
      </c>
      <c r="E24" s="17">
        <f>58-13</f>
        <v>45</v>
      </c>
      <c r="F24" s="17">
        <v>13</v>
      </c>
      <c r="G24" s="17">
        <f>D24/SUM(D24:F24)*100</f>
        <v>1.6949152542372881</v>
      </c>
      <c r="H24" s="17">
        <f>E24/SUM(D24:F24)*100</f>
        <v>76.271186440677965</v>
      </c>
      <c r="I24" s="17">
        <f>F24/SUM(D24:F24)*100</f>
        <v>22.033898305084744</v>
      </c>
      <c r="J24" s="17">
        <f>SUM(D24:F24)</f>
        <v>59</v>
      </c>
    </row>
    <row r="25" spans="1:10">
      <c r="A25" s="14" t="s">
        <v>442</v>
      </c>
      <c r="B25" s="15" t="s">
        <v>501</v>
      </c>
      <c r="C25" s="15" t="s">
        <v>500</v>
      </c>
      <c r="D25" s="15">
        <v>1</v>
      </c>
      <c r="E25" s="15">
        <v>30</v>
      </c>
      <c r="F25" s="15">
        <v>26</v>
      </c>
      <c r="G25" s="15"/>
      <c r="H25" s="15"/>
      <c r="I25" s="15"/>
      <c r="J25" s="15"/>
    </row>
    <row r="26" spans="1:10">
      <c r="A26" s="14" t="s">
        <v>443</v>
      </c>
      <c r="B26" s="15" t="s">
        <v>501</v>
      </c>
      <c r="C26" s="15" t="s">
        <v>500</v>
      </c>
      <c r="D26" s="15">
        <v>3</v>
      </c>
      <c r="E26" s="15">
        <f>23-5</f>
        <v>18</v>
      </c>
      <c r="F26" s="15">
        <v>5</v>
      </c>
      <c r="G26" s="15"/>
      <c r="H26" s="15"/>
      <c r="I26" s="15"/>
      <c r="J26" s="15"/>
    </row>
    <row r="27" spans="1:10">
      <c r="A27" s="16" t="s">
        <v>444</v>
      </c>
      <c r="B27" s="17" t="s">
        <v>501</v>
      </c>
      <c r="C27" s="17" t="s">
        <v>500</v>
      </c>
      <c r="D27" s="17">
        <f>SUM(D25:D26)</f>
        <v>4</v>
      </c>
      <c r="E27" s="17">
        <f>SUM(E25:E26)</f>
        <v>48</v>
      </c>
      <c r="F27" s="17">
        <f t="shared" ref="F27" si="10">SUM(F25:F26)</f>
        <v>31</v>
      </c>
      <c r="G27" s="17">
        <f>D27/SUM(D27:F27)*100</f>
        <v>4.8192771084337354</v>
      </c>
      <c r="H27" s="17">
        <f>E27/SUM(D27:F27)*100</f>
        <v>57.831325301204814</v>
      </c>
      <c r="I27" s="17">
        <f>F27/SUM(D27:F27)*100</f>
        <v>37.349397590361441</v>
      </c>
      <c r="J27" s="17">
        <f>SUM(D27:F27)</f>
        <v>83</v>
      </c>
    </row>
    <row r="28" spans="1:10">
      <c r="A28" s="14" t="s">
        <v>445</v>
      </c>
      <c r="B28" s="15" t="s">
        <v>501</v>
      </c>
      <c r="C28" s="15" t="s">
        <v>500</v>
      </c>
      <c r="D28" s="25">
        <v>0</v>
      </c>
      <c r="E28" s="15">
        <f>34-26</f>
        <v>8</v>
      </c>
      <c r="F28" s="15">
        <v>26</v>
      </c>
      <c r="G28" s="15"/>
      <c r="H28" s="15"/>
      <c r="I28" s="15"/>
      <c r="J28" s="15"/>
    </row>
    <row r="29" spans="1:10">
      <c r="A29" s="14" t="s">
        <v>446</v>
      </c>
      <c r="B29" s="15" t="s">
        <v>501</v>
      </c>
      <c r="C29" s="15" t="s">
        <v>500</v>
      </c>
      <c r="D29" s="15">
        <v>0</v>
      </c>
      <c r="E29" s="15">
        <v>20</v>
      </c>
      <c r="F29" s="15">
        <v>39</v>
      </c>
      <c r="G29" s="15"/>
      <c r="H29" s="15"/>
      <c r="I29" s="15"/>
      <c r="J29" s="15"/>
    </row>
    <row r="30" spans="1:10">
      <c r="A30" s="16" t="s">
        <v>447</v>
      </c>
      <c r="B30" s="17" t="s">
        <v>501</v>
      </c>
      <c r="C30" s="17" t="s">
        <v>500</v>
      </c>
      <c r="D30" s="17">
        <f>SUM(D28:D29)</f>
        <v>0</v>
      </c>
      <c r="E30" s="17">
        <f>SUM(E28:E29)</f>
        <v>28</v>
      </c>
      <c r="F30" s="17">
        <f t="shared" ref="F30" si="11">SUM(F28:F29)</f>
        <v>65</v>
      </c>
      <c r="G30" s="17">
        <f>D30/SUM(D30:F30)*100</f>
        <v>0</v>
      </c>
      <c r="H30" s="17">
        <f>E30/SUM(D30:F30)*100</f>
        <v>30.107526881720432</v>
      </c>
      <c r="I30" s="17">
        <f>F30/SUM(D30:F30)*100</f>
        <v>69.892473118279568</v>
      </c>
      <c r="J30" s="17">
        <f>SUM(D30:F30)</f>
        <v>93</v>
      </c>
    </row>
    <row r="31" spans="1:10">
      <c r="A31" s="14" t="s">
        <v>448</v>
      </c>
      <c r="B31" s="15" t="s">
        <v>502</v>
      </c>
      <c r="C31" s="15" t="s">
        <v>500</v>
      </c>
      <c r="D31" s="25">
        <v>1</v>
      </c>
      <c r="E31" s="15">
        <f>30-19</f>
        <v>11</v>
      </c>
      <c r="F31" s="25">
        <v>19</v>
      </c>
      <c r="G31" s="15"/>
      <c r="H31" s="15"/>
      <c r="I31" s="15"/>
      <c r="J31" s="15"/>
    </row>
    <row r="32" spans="1:10">
      <c r="A32" s="14" t="s">
        <v>449</v>
      </c>
      <c r="B32" s="15" t="s">
        <v>502</v>
      </c>
      <c r="C32" s="15" t="s">
        <v>500</v>
      </c>
      <c r="D32" s="15">
        <v>1</v>
      </c>
      <c r="E32" s="15">
        <f>29-13</f>
        <v>16</v>
      </c>
      <c r="F32" s="15">
        <v>13</v>
      </c>
      <c r="G32" s="15"/>
      <c r="H32" s="15"/>
      <c r="I32" s="15"/>
      <c r="J32" s="15"/>
    </row>
    <row r="33" spans="1:10">
      <c r="A33" s="16" t="s">
        <v>450</v>
      </c>
      <c r="B33" s="17" t="s">
        <v>502</v>
      </c>
      <c r="C33" s="17" t="s">
        <v>500</v>
      </c>
      <c r="D33" s="17">
        <f>SUM(D31:D32)</f>
        <v>2</v>
      </c>
      <c r="E33" s="17">
        <f>SUM(E31:E32)</f>
        <v>27</v>
      </c>
      <c r="F33" s="17">
        <f t="shared" ref="F33" si="12">SUM(F31:F32)</f>
        <v>32</v>
      </c>
      <c r="G33" s="17">
        <f>D33/SUM(D33:F33)*100</f>
        <v>3.278688524590164</v>
      </c>
      <c r="H33" s="17">
        <f>E33/SUM(D33:F33)*100</f>
        <v>44.26229508196721</v>
      </c>
      <c r="I33" s="17">
        <f>F33/SUM(D33:F33)*100</f>
        <v>52.459016393442624</v>
      </c>
      <c r="J33" s="17">
        <f>SUM(D33:F33)</f>
        <v>61</v>
      </c>
    </row>
    <row r="34" spans="1:10">
      <c r="A34" s="16" t="s">
        <v>451</v>
      </c>
      <c r="B34" s="17" t="s">
        <v>572</v>
      </c>
      <c r="C34" s="17" t="s">
        <v>500</v>
      </c>
      <c r="D34" s="17">
        <v>4</v>
      </c>
      <c r="E34" s="17">
        <v>6</v>
      </c>
      <c r="F34" s="17">
        <v>102</v>
      </c>
      <c r="G34" s="17">
        <f>D34/SUM(D34:F34)*100</f>
        <v>3.5714285714285712</v>
      </c>
      <c r="H34" s="17">
        <f>E34/SUM(D34:F34)*100</f>
        <v>5.3571428571428568</v>
      </c>
      <c r="I34" s="17">
        <f>F34/SUM(D34:F34)*100</f>
        <v>91.071428571428569</v>
      </c>
      <c r="J34" s="17">
        <f>SUM(D34:F34)</f>
        <v>112</v>
      </c>
    </row>
    <row r="35" spans="1:10">
      <c r="A35" s="14" t="s">
        <v>452</v>
      </c>
      <c r="B35" s="15" t="s">
        <v>502</v>
      </c>
      <c r="C35" s="15" t="s">
        <v>500</v>
      </c>
      <c r="D35" s="15">
        <v>0</v>
      </c>
      <c r="E35" s="15">
        <v>0</v>
      </c>
      <c r="F35" s="15">
        <v>69</v>
      </c>
      <c r="G35" s="15"/>
      <c r="H35" s="15"/>
      <c r="I35" s="15"/>
      <c r="J35" s="15"/>
    </row>
    <row r="36" spans="1:10">
      <c r="A36" s="14" t="s">
        <v>453</v>
      </c>
      <c r="B36" s="15" t="s">
        <v>502</v>
      </c>
      <c r="C36" s="15" t="s">
        <v>500</v>
      </c>
      <c r="D36" s="15">
        <v>0</v>
      </c>
      <c r="E36" s="15">
        <v>0</v>
      </c>
      <c r="F36" s="15">
        <v>67</v>
      </c>
      <c r="G36" s="15"/>
      <c r="H36" s="15"/>
      <c r="I36" s="15"/>
      <c r="J36" s="15"/>
    </row>
    <row r="37" spans="1:10">
      <c r="A37" s="16" t="s">
        <v>454</v>
      </c>
      <c r="B37" s="17" t="s">
        <v>502</v>
      </c>
      <c r="C37" s="17" t="s">
        <v>500</v>
      </c>
      <c r="D37" s="17">
        <f>SUM(D35:D36)</f>
        <v>0</v>
      </c>
      <c r="E37" s="17">
        <f>SUM(E35:E36)</f>
        <v>0</v>
      </c>
      <c r="F37" s="17">
        <f t="shared" ref="F37" si="13">SUM(F35:F36)</f>
        <v>136</v>
      </c>
      <c r="G37" s="17">
        <f>D37/SUM(D37:F37)*100</f>
        <v>0</v>
      </c>
      <c r="H37" s="17">
        <f>E37/SUM(D37:F37)*100</f>
        <v>0</v>
      </c>
      <c r="I37" s="17">
        <f>F37/SUM(D37:F37)*100</f>
        <v>100</v>
      </c>
      <c r="J37" s="17">
        <f>SUM(D37:F37)</f>
        <v>136</v>
      </c>
    </row>
    <row r="38" spans="1:10">
      <c r="A38" s="16" t="s">
        <v>455</v>
      </c>
      <c r="B38" s="17" t="s">
        <v>502</v>
      </c>
      <c r="C38" s="17" t="s">
        <v>500</v>
      </c>
      <c r="D38" s="17">
        <v>2</v>
      </c>
      <c r="E38" s="17">
        <f>112-41</f>
        <v>71</v>
      </c>
      <c r="F38" s="17">
        <v>41</v>
      </c>
      <c r="G38" s="17">
        <f>D38/SUM(D38:F38)*100</f>
        <v>1.7543859649122806</v>
      </c>
      <c r="H38" s="17">
        <f>E38/SUM(D38:F38)*100</f>
        <v>62.280701754385973</v>
      </c>
      <c r="I38" s="17">
        <f>F38/SUM(D38:F38)*100</f>
        <v>35.964912280701753</v>
      </c>
      <c r="J38" s="17">
        <f>SUM(D38:F38)</f>
        <v>114</v>
      </c>
    </row>
    <row r="39" spans="1:10">
      <c r="A39" s="16" t="s">
        <v>456</v>
      </c>
      <c r="B39" s="17" t="s">
        <v>572</v>
      </c>
      <c r="C39" s="17" t="s">
        <v>500</v>
      </c>
      <c r="D39" s="17">
        <v>1</v>
      </c>
      <c r="E39" s="17">
        <v>3</v>
      </c>
      <c r="F39" s="17">
        <v>104</v>
      </c>
      <c r="G39" s="17">
        <f>D39/SUM(D39:F39)*100</f>
        <v>0.92592592592592582</v>
      </c>
      <c r="H39" s="17">
        <f>E39/SUM(D39:F39)*100</f>
        <v>2.7777777777777777</v>
      </c>
      <c r="I39" s="17">
        <f>F39/SUM(D39:F39)*100</f>
        <v>96.296296296296291</v>
      </c>
      <c r="J39" s="17">
        <f>SUM(D39:F39)</f>
        <v>108</v>
      </c>
    </row>
    <row r="40" spans="1:10">
      <c r="A40" s="14" t="s">
        <v>457</v>
      </c>
      <c r="B40" s="15" t="s">
        <v>502</v>
      </c>
      <c r="C40" s="15" t="s">
        <v>500</v>
      </c>
      <c r="D40" s="15">
        <v>1</v>
      </c>
      <c r="E40" s="15">
        <v>24</v>
      </c>
      <c r="F40" s="15">
        <v>10</v>
      </c>
      <c r="G40" s="15"/>
      <c r="H40" s="15"/>
      <c r="I40" s="15"/>
      <c r="J40" s="15"/>
    </row>
    <row r="41" spans="1:10">
      <c r="A41" s="14" t="s">
        <v>458</v>
      </c>
      <c r="B41" s="15" t="s">
        <v>502</v>
      </c>
      <c r="C41" s="15" t="s">
        <v>500</v>
      </c>
      <c r="D41" s="15">
        <v>0</v>
      </c>
      <c r="E41" s="15">
        <v>17</v>
      </c>
      <c r="F41" s="15">
        <v>30</v>
      </c>
      <c r="G41" s="15"/>
      <c r="H41" s="15"/>
      <c r="I41" s="15"/>
      <c r="J41" s="15"/>
    </row>
    <row r="42" spans="1:10">
      <c r="A42" s="16" t="s">
        <v>459</v>
      </c>
      <c r="B42" s="17" t="s">
        <v>502</v>
      </c>
      <c r="C42" s="17" t="s">
        <v>500</v>
      </c>
      <c r="D42" s="17">
        <f>SUM(D40:D41)</f>
        <v>1</v>
      </c>
      <c r="E42" s="17">
        <f>SUM(E40:E41)</f>
        <v>41</v>
      </c>
      <c r="F42" s="17">
        <f t="shared" ref="F42" si="14">SUM(F40:F41)</f>
        <v>40</v>
      </c>
      <c r="G42" s="17">
        <f>D42/SUM(D42:F42)*100</f>
        <v>1.2195121951219512</v>
      </c>
      <c r="H42" s="17">
        <f>E42/SUM(D42:F42)*100</f>
        <v>50</v>
      </c>
      <c r="I42" s="17">
        <f>F42/SUM(D42:F42)*100</f>
        <v>48.780487804878049</v>
      </c>
      <c r="J42" s="17">
        <f>SUM(D42:F42)</f>
        <v>82</v>
      </c>
    </row>
    <row r="43" spans="1:10">
      <c r="A43" s="16" t="s">
        <v>495</v>
      </c>
      <c r="B43" s="18"/>
      <c r="C43" s="18"/>
      <c r="D43" s="26"/>
      <c r="E43" s="18"/>
      <c r="F43" s="19" t="s">
        <v>22</v>
      </c>
      <c r="G43" s="20">
        <f>AVERAGE(G17,G20,G23:G24,G27,G30,G33:G34,G37:G39,G42)</f>
        <v>1.8644024330686524</v>
      </c>
      <c r="H43" s="20">
        <f>AVERAGE(H17,H20,H23:H24,H27,H30,H33:H34,H37:H39,H42)</f>
        <v>42.850078932474254</v>
      </c>
      <c r="I43" s="20">
        <f t="shared" ref="I43" si="15">AVERAGE(I17,I20,I23:I24,I27,I30,I33:I34,I37:I39,I42)</f>
        <v>55.285518634457084</v>
      </c>
      <c r="J43" s="21" t="s">
        <v>492</v>
      </c>
    </row>
    <row r="44" spans="1:10">
      <c r="A44" s="18"/>
      <c r="B44" s="18"/>
      <c r="C44" s="18"/>
      <c r="D44" s="26"/>
      <c r="E44" s="18"/>
      <c r="F44" s="22" t="s">
        <v>570</v>
      </c>
      <c r="G44" s="23">
        <f>STDEV(G17,G20,G23:G24,G27,G30,G33:G34,G37:G39,G42)</f>
        <v>1.5482783633246755</v>
      </c>
      <c r="H44" s="23">
        <f>STDEV(H17,H20,H23:H24,H27,H30,H33:H34,H37:H39,H42)</f>
        <v>27.019681127260462</v>
      </c>
      <c r="I44" s="23">
        <f t="shared" ref="I44" si="16">STDEV(I17,I20,I23:I24,I27,I30,I33:I34,I37:I39,I42)</f>
        <v>27.455306205171155</v>
      </c>
      <c r="J44" s="27">
        <f>SUM(J17,J20,J23:J24,J27,J30,J33:J34,J37:J39,J42)</f>
        <v>1086</v>
      </c>
    </row>
    <row r="45" spans="1:10">
      <c r="A45" s="14" t="s">
        <v>460</v>
      </c>
      <c r="B45" s="25" t="s">
        <v>503</v>
      </c>
      <c r="C45" s="15" t="s">
        <v>500</v>
      </c>
      <c r="D45" s="15">
        <v>0</v>
      </c>
      <c r="E45" s="15">
        <f>72-19</f>
        <v>53</v>
      </c>
      <c r="F45" s="15">
        <v>19</v>
      </c>
      <c r="G45" s="15"/>
      <c r="H45" s="15"/>
      <c r="I45" s="15"/>
      <c r="J45" s="15"/>
    </row>
    <row r="46" spans="1:10">
      <c r="A46" s="14" t="s">
        <v>461</v>
      </c>
      <c r="B46" s="25" t="s">
        <v>503</v>
      </c>
      <c r="C46" s="15" t="s">
        <v>500</v>
      </c>
      <c r="D46" s="15">
        <v>1</v>
      </c>
      <c r="E46" s="15">
        <f>43-20</f>
        <v>23</v>
      </c>
      <c r="F46" s="15">
        <v>20</v>
      </c>
      <c r="G46" s="15"/>
      <c r="H46" s="15"/>
      <c r="I46" s="15"/>
      <c r="J46" s="15"/>
    </row>
    <row r="47" spans="1:10">
      <c r="A47" s="16" t="s">
        <v>462</v>
      </c>
      <c r="B47" s="17" t="s">
        <v>503</v>
      </c>
      <c r="C47" s="17" t="s">
        <v>500</v>
      </c>
      <c r="D47" s="17">
        <f>SUM(D45:D46)</f>
        <v>1</v>
      </c>
      <c r="E47" s="17">
        <f>SUM(E45:E46)</f>
        <v>76</v>
      </c>
      <c r="F47" s="17">
        <f t="shared" ref="F47" si="17">SUM(F45:F46)</f>
        <v>39</v>
      </c>
      <c r="G47" s="17">
        <f>D47/SUM(D47:F47)*100</f>
        <v>0.86206896551724133</v>
      </c>
      <c r="H47" s="17">
        <f>E47/SUM(D47:F47)*100</f>
        <v>65.517241379310349</v>
      </c>
      <c r="I47" s="17">
        <f>F47/SUM(D47:F47)*100</f>
        <v>33.620689655172413</v>
      </c>
      <c r="J47" s="17">
        <f>SUM(D47:F47)</f>
        <v>116</v>
      </c>
    </row>
    <row r="48" spans="1:10">
      <c r="A48" s="14" t="s">
        <v>463</v>
      </c>
      <c r="B48" s="25" t="s">
        <v>503</v>
      </c>
      <c r="C48" s="15" t="s">
        <v>500</v>
      </c>
      <c r="D48" s="15">
        <v>1</v>
      </c>
      <c r="E48" s="15">
        <f>66-21</f>
        <v>45</v>
      </c>
      <c r="F48" s="15">
        <v>21</v>
      </c>
      <c r="G48" s="15"/>
      <c r="H48" s="15"/>
      <c r="I48" s="15"/>
      <c r="J48" s="15"/>
    </row>
    <row r="49" spans="1:10">
      <c r="A49" s="14" t="s">
        <v>464</v>
      </c>
      <c r="B49" s="25" t="s">
        <v>503</v>
      </c>
      <c r="C49" s="15" t="s">
        <v>500</v>
      </c>
      <c r="D49" s="15">
        <v>0</v>
      </c>
      <c r="E49" s="15">
        <f>52-9</f>
        <v>43</v>
      </c>
      <c r="F49" s="15">
        <v>9</v>
      </c>
      <c r="G49" s="15"/>
      <c r="H49" s="15"/>
      <c r="I49" s="15"/>
      <c r="J49" s="15"/>
    </row>
    <row r="50" spans="1:10">
      <c r="A50" s="16" t="s">
        <v>465</v>
      </c>
      <c r="B50" s="17" t="s">
        <v>503</v>
      </c>
      <c r="C50" s="17" t="s">
        <v>500</v>
      </c>
      <c r="D50" s="17">
        <f>SUM(D48:D49)</f>
        <v>1</v>
      </c>
      <c r="E50" s="17">
        <f>SUM(E48:E49)</f>
        <v>88</v>
      </c>
      <c r="F50" s="17">
        <f t="shared" ref="F50" si="18">SUM(F48:F49)</f>
        <v>30</v>
      </c>
      <c r="G50" s="17">
        <f>D50/SUM(D50:F50)*100</f>
        <v>0.84033613445378152</v>
      </c>
      <c r="H50" s="17">
        <f>E50/SUM(D50:F50)*100</f>
        <v>73.94957983193278</v>
      </c>
      <c r="I50" s="17">
        <f>F50/SUM(D50:F50)*100</f>
        <v>25.210084033613445</v>
      </c>
      <c r="J50" s="17">
        <f>SUM(D50:F50)</f>
        <v>119</v>
      </c>
    </row>
    <row r="51" spans="1:10">
      <c r="A51" s="14" t="s">
        <v>466</v>
      </c>
      <c r="B51" s="25" t="s">
        <v>503</v>
      </c>
      <c r="C51" s="15" t="s">
        <v>500</v>
      </c>
      <c r="D51" s="15">
        <v>4</v>
      </c>
      <c r="E51" s="15">
        <f>81-36</f>
        <v>45</v>
      </c>
      <c r="F51" s="15">
        <v>36</v>
      </c>
      <c r="G51" s="15"/>
      <c r="H51" s="15"/>
      <c r="I51" s="15"/>
      <c r="J51" s="15"/>
    </row>
    <row r="52" spans="1:10">
      <c r="A52" s="14" t="s">
        <v>467</v>
      </c>
      <c r="B52" s="25" t="s">
        <v>503</v>
      </c>
      <c r="C52" s="15" t="s">
        <v>500</v>
      </c>
      <c r="D52" s="15">
        <v>2</v>
      </c>
      <c r="E52" s="15">
        <f>47-17</f>
        <v>30</v>
      </c>
      <c r="F52" s="15">
        <v>17</v>
      </c>
      <c r="G52" s="15"/>
      <c r="H52" s="15"/>
      <c r="I52" s="15"/>
      <c r="J52" s="15"/>
    </row>
    <row r="53" spans="1:10">
      <c r="A53" s="16" t="s">
        <v>468</v>
      </c>
      <c r="B53" s="17" t="s">
        <v>503</v>
      </c>
      <c r="C53" s="17" t="s">
        <v>500</v>
      </c>
      <c r="D53" s="17">
        <f>SUM(D51:D52)</f>
        <v>6</v>
      </c>
      <c r="E53" s="17">
        <f>SUM(E51:E52)</f>
        <v>75</v>
      </c>
      <c r="F53" s="17">
        <f t="shared" ref="F53" si="19">SUM(F51:F52)</f>
        <v>53</v>
      </c>
      <c r="G53" s="17">
        <f>D53/SUM(D53:F53)*100</f>
        <v>4.4776119402985071</v>
      </c>
      <c r="H53" s="17">
        <f>E53/SUM(D53:F53)*100</f>
        <v>55.970149253731336</v>
      </c>
      <c r="I53" s="17">
        <f>F53/SUM(D53:F53)*100</f>
        <v>39.552238805970148</v>
      </c>
      <c r="J53" s="17">
        <f>SUM(D53:F53)</f>
        <v>134</v>
      </c>
    </row>
    <row r="54" spans="1:10">
      <c r="A54" s="14" t="s">
        <v>469</v>
      </c>
      <c r="B54" s="25" t="s">
        <v>503</v>
      </c>
      <c r="C54" s="15" t="s">
        <v>500</v>
      </c>
      <c r="D54" s="15">
        <v>0</v>
      </c>
      <c r="E54" s="15">
        <f>72-31</f>
        <v>41</v>
      </c>
      <c r="F54" s="15">
        <v>31</v>
      </c>
      <c r="G54" s="15"/>
      <c r="H54" s="15"/>
      <c r="I54" s="15"/>
      <c r="J54" s="15"/>
    </row>
    <row r="55" spans="1:10">
      <c r="A55" s="14" t="s">
        <v>470</v>
      </c>
      <c r="B55" s="25" t="s">
        <v>503</v>
      </c>
      <c r="C55" s="15" t="s">
        <v>500</v>
      </c>
      <c r="D55" s="15">
        <v>0</v>
      </c>
      <c r="E55" s="15">
        <f>100-31</f>
        <v>69</v>
      </c>
      <c r="F55" s="15">
        <v>31</v>
      </c>
      <c r="G55" s="15"/>
      <c r="H55" s="15"/>
      <c r="I55" s="15"/>
      <c r="J55" s="15"/>
    </row>
    <row r="56" spans="1:10">
      <c r="A56" s="16" t="s">
        <v>471</v>
      </c>
      <c r="B56" s="17" t="s">
        <v>503</v>
      </c>
      <c r="C56" s="17" t="s">
        <v>500</v>
      </c>
      <c r="D56" s="17">
        <f>SUM(D54:D55)</f>
        <v>0</v>
      </c>
      <c r="E56" s="17">
        <f>SUM(E54:E55)</f>
        <v>110</v>
      </c>
      <c r="F56" s="17">
        <f t="shared" ref="F56" si="20">SUM(F54:F55)</f>
        <v>62</v>
      </c>
      <c r="G56" s="17">
        <f>D56/SUM(D56:F56)*100</f>
        <v>0</v>
      </c>
      <c r="H56" s="17">
        <f>E56/SUM(D56:F56)*100</f>
        <v>63.953488372093027</v>
      </c>
      <c r="I56" s="17">
        <f>F56/SUM(D56:F56)*100</f>
        <v>36.046511627906973</v>
      </c>
      <c r="J56" s="17">
        <f>SUM(D56:F56)</f>
        <v>172</v>
      </c>
    </row>
    <row r="57" spans="1:10">
      <c r="A57" s="14" t="s">
        <v>472</v>
      </c>
      <c r="B57" s="25" t="s">
        <v>503</v>
      </c>
      <c r="C57" s="15" t="s">
        <v>500</v>
      </c>
      <c r="D57" s="15">
        <v>4</v>
      </c>
      <c r="E57" s="15">
        <v>40</v>
      </c>
      <c r="F57" s="15">
        <v>30</v>
      </c>
      <c r="G57" s="15"/>
      <c r="H57" s="15"/>
      <c r="I57" s="15"/>
      <c r="J57" s="15"/>
    </row>
    <row r="58" spans="1:10">
      <c r="A58" s="14" t="s">
        <v>473</v>
      </c>
      <c r="B58" s="25" t="s">
        <v>503</v>
      </c>
      <c r="C58" s="15" t="s">
        <v>500</v>
      </c>
      <c r="D58" s="15">
        <v>2</v>
      </c>
      <c r="E58" s="15">
        <f>34-9</f>
        <v>25</v>
      </c>
      <c r="F58" s="15">
        <v>9</v>
      </c>
      <c r="G58" s="15"/>
      <c r="H58" s="15"/>
      <c r="I58" s="15"/>
      <c r="J58" s="15"/>
    </row>
    <row r="59" spans="1:10">
      <c r="A59" s="16" t="s">
        <v>474</v>
      </c>
      <c r="B59" s="17" t="s">
        <v>503</v>
      </c>
      <c r="C59" s="17" t="s">
        <v>500</v>
      </c>
      <c r="D59" s="17">
        <f>SUM(D57:D58)</f>
        <v>6</v>
      </c>
      <c r="E59" s="17">
        <f>SUM(E57:E58)</f>
        <v>65</v>
      </c>
      <c r="F59" s="17">
        <f t="shared" ref="F59" si="21">SUM(F57:F58)</f>
        <v>39</v>
      </c>
      <c r="G59" s="17">
        <f>D59/SUM(D59:F59)*100</f>
        <v>5.4545454545454541</v>
      </c>
      <c r="H59" s="17">
        <f>E59/SUM(D59:F59)*100</f>
        <v>59.090909090909093</v>
      </c>
      <c r="I59" s="17">
        <f>F59/SUM(D59:F59)*100</f>
        <v>35.454545454545453</v>
      </c>
      <c r="J59" s="17">
        <f>SUM(D59:F59)</f>
        <v>110</v>
      </c>
    </row>
    <row r="60" spans="1:10">
      <c r="A60" s="14" t="s">
        <v>475</v>
      </c>
      <c r="B60" s="25" t="s">
        <v>503</v>
      </c>
      <c r="C60" s="15" t="s">
        <v>500</v>
      </c>
      <c r="D60" s="15">
        <v>1</v>
      </c>
      <c r="E60" s="15">
        <f>58-31</f>
        <v>27</v>
      </c>
      <c r="F60" s="15">
        <v>31</v>
      </c>
      <c r="G60" s="15"/>
      <c r="H60" s="15"/>
      <c r="I60" s="15"/>
      <c r="J60" s="15"/>
    </row>
    <row r="61" spans="1:10">
      <c r="A61" s="14" t="s">
        <v>476</v>
      </c>
      <c r="B61" s="25" t="s">
        <v>503</v>
      </c>
      <c r="C61" s="15" t="s">
        <v>500</v>
      </c>
      <c r="D61" s="15">
        <v>0</v>
      </c>
      <c r="E61" s="15">
        <f>51-14</f>
        <v>37</v>
      </c>
      <c r="F61" s="15">
        <v>14</v>
      </c>
      <c r="G61" s="15"/>
      <c r="H61" s="15"/>
      <c r="I61" s="15"/>
      <c r="J61" s="15"/>
    </row>
    <row r="62" spans="1:10">
      <c r="A62" s="16" t="s">
        <v>477</v>
      </c>
      <c r="B62" s="17" t="s">
        <v>503</v>
      </c>
      <c r="C62" s="17" t="s">
        <v>500</v>
      </c>
      <c r="D62" s="17">
        <f>SUM(D60:D61)</f>
        <v>1</v>
      </c>
      <c r="E62" s="17">
        <f>SUM(E60:E61)</f>
        <v>64</v>
      </c>
      <c r="F62" s="17">
        <f t="shared" ref="F62" si="22">SUM(F60:F61)</f>
        <v>45</v>
      </c>
      <c r="G62" s="17">
        <f>D62/SUM(D62:F62)*100</f>
        <v>0.90909090909090906</v>
      </c>
      <c r="H62" s="17">
        <f>E62/SUM(D62:F62)*100</f>
        <v>58.18181818181818</v>
      </c>
      <c r="I62" s="17">
        <f>F62/SUM(D62:F62)*100</f>
        <v>40.909090909090914</v>
      </c>
      <c r="J62" s="17">
        <f>SUM(D62:F62)</f>
        <v>110</v>
      </c>
    </row>
    <row r="63" spans="1:10">
      <c r="A63" s="14" t="s">
        <v>478</v>
      </c>
      <c r="B63" s="25" t="s">
        <v>503</v>
      </c>
      <c r="C63" s="15" t="s">
        <v>500</v>
      </c>
      <c r="D63" s="15">
        <v>0</v>
      </c>
      <c r="E63" s="15">
        <f>97-21</f>
        <v>76</v>
      </c>
      <c r="F63" s="15">
        <v>21</v>
      </c>
      <c r="G63" s="15"/>
      <c r="H63" s="15"/>
      <c r="I63" s="15"/>
      <c r="J63" s="15"/>
    </row>
    <row r="64" spans="1:10">
      <c r="A64" s="14" t="s">
        <v>479</v>
      </c>
      <c r="B64" s="25" t="s">
        <v>503</v>
      </c>
      <c r="C64" s="15" t="s">
        <v>500</v>
      </c>
      <c r="D64" s="15">
        <v>0</v>
      </c>
      <c r="E64" s="15">
        <v>32</v>
      </c>
      <c r="F64" s="15">
        <v>3</v>
      </c>
      <c r="G64" s="15"/>
      <c r="H64" s="15"/>
      <c r="I64" s="15"/>
      <c r="J64" s="15"/>
    </row>
    <row r="65" spans="1:10">
      <c r="A65" s="16" t="s">
        <v>480</v>
      </c>
      <c r="B65" s="17" t="s">
        <v>503</v>
      </c>
      <c r="C65" s="17" t="s">
        <v>500</v>
      </c>
      <c r="D65" s="17">
        <f>SUM(D63:D64)</f>
        <v>0</v>
      </c>
      <c r="E65" s="17">
        <f>SUM(E63:E64)</f>
        <v>108</v>
      </c>
      <c r="F65" s="17">
        <f t="shared" ref="F65" si="23">SUM(F63:F64)</f>
        <v>24</v>
      </c>
      <c r="G65" s="17">
        <f>D65/SUM(D65:F65)*100</f>
        <v>0</v>
      </c>
      <c r="H65" s="17">
        <f>E65/SUM(D65:F65)*100</f>
        <v>81.818181818181827</v>
      </c>
      <c r="I65" s="17">
        <f>F65/SUM(D65:F65)*100</f>
        <v>18.181818181818183</v>
      </c>
      <c r="J65" s="17">
        <f>SUM(D65:F65)</f>
        <v>132</v>
      </c>
    </row>
    <row r="66" spans="1:10">
      <c r="A66" s="14" t="s">
        <v>481</v>
      </c>
      <c r="B66" s="25" t="s">
        <v>503</v>
      </c>
      <c r="C66" s="15" t="s">
        <v>500</v>
      </c>
      <c r="D66" s="15">
        <v>0</v>
      </c>
      <c r="E66" s="15">
        <f>63-25</f>
        <v>38</v>
      </c>
      <c r="F66" s="15">
        <v>25</v>
      </c>
      <c r="G66" s="15"/>
      <c r="H66" s="15"/>
      <c r="I66" s="15"/>
      <c r="J66" s="15"/>
    </row>
    <row r="67" spans="1:10">
      <c r="A67" s="14" t="s">
        <v>482</v>
      </c>
      <c r="B67" s="25" t="s">
        <v>503</v>
      </c>
      <c r="C67" s="15" t="s">
        <v>500</v>
      </c>
      <c r="D67" s="15">
        <v>0</v>
      </c>
      <c r="E67" s="15">
        <v>20</v>
      </c>
      <c r="F67" s="15">
        <v>9</v>
      </c>
      <c r="G67" s="15"/>
      <c r="H67" s="15"/>
      <c r="I67" s="15"/>
      <c r="J67" s="15"/>
    </row>
    <row r="68" spans="1:10">
      <c r="A68" s="16" t="s">
        <v>483</v>
      </c>
      <c r="B68" s="17" t="s">
        <v>503</v>
      </c>
      <c r="C68" s="17" t="s">
        <v>500</v>
      </c>
      <c r="D68" s="17">
        <f>SUM(D66:D67)</f>
        <v>0</v>
      </c>
      <c r="E68" s="17">
        <f>SUM(E66:E67)</f>
        <v>58</v>
      </c>
      <c r="F68" s="17">
        <f t="shared" ref="F68" si="24">SUM(F66:F67)</f>
        <v>34</v>
      </c>
      <c r="G68" s="17">
        <f>D68/SUM(D68:F68)*100</f>
        <v>0</v>
      </c>
      <c r="H68" s="17">
        <f>E68/SUM(D68:F68)*100</f>
        <v>63.04347826086957</v>
      </c>
      <c r="I68" s="17">
        <f>F68/SUM(D68:F68)*100</f>
        <v>36.95652173913043</v>
      </c>
      <c r="J68" s="17">
        <f>SUM(D68:F68)</f>
        <v>92</v>
      </c>
    </row>
    <row r="69" spans="1:10">
      <c r="A69" s="14" t="s">
        <v>484</v>
      </c>
      <c r="B69" s="25" t="s">
        <v>503</v>
      </c>
      <c r="C69" s="15" t="s">
        <v>500</v>
      </c>
      <c r="D69" s="25">
        <v>0</v>
      </c>
      <c r="E69" s="25">
        <f>78-26</f>
        <v>52</v>
      </c>
      <c r="F69" s="25">
        <v>26</v>
      </c>
      <c r="G69" s="25"/>
      <c r="H69" s="25"/>
      <c r="I69" s="25"/>
      <c r="J69" s="25"/>
    </row>
    <row r="70" spans="1:10">
      <c r="A70" s="14" t="s">
        <v>485</v>
      </c>
      <c r="B70" s="25" t="s">
        <v>503</v>
      </c>
      <c r="C70" s="15" t="s">
        <v>500</v>
      </c>
      <c r="D70" s="15">
        <v>1</v>
      </c>
      <c r="E70" s="15">
        <f>65-31</f>
        <v>34</v>
      </c>
      <c r="F70" s="15">
        <v>31</v>
      </c>
      <c r="G70" s="15"/>
      <c r="H70" s="15"/>
      <c r="I70" s="15"/>
      <c r="J70" s="15"/>
    </row>
    <row r="71" spans="1:10">
      <c r="A71" s="16" t="s">
        <v>486</v>
      </c>
      <c r="B71" s="17" t="s">
        <v>503</v>
      </c>
      <c r="C71" s="17" t="s">
        <v>500</v>
      </c>
      <c r="D71" s="17">
        <f>SUM(D69:D70)</f>
        <v>1</v>
      </c>
      <c r="E71" s="17">
        <f>SUM(E69:E70)</f>
        <v>86</v>
      </c>
      <c r="F71" s="17">
        <f t="shared" ref="F71" si="25">SUM(F69:F70)</f>
        <v>57</v>
      </c>
      <c r="G71" s="17">
        <f>D71/SUM(D71:F71)*100</f>
        <v>0.69444444444444442</v>
      </c>
      <c r="H71" s="17">
        <f>E71/SUM(D71:F71)*100</f>
        <v>59.722222222222221</v>
      </c>
      <c r="I71" s="17">
        <f>F71/SUM(D71:F71)*100</f>
        <v>39.583333333333329</v>
      </c>
      <c r="J71" s="17">
        <f>SUM(D71:F71)</f>
        <v>144</v>
      </c>
    </row>
    <row r="72" spans="1:10">
      <c r="A72" s="14" t="s">
        <v>487</v>
      </c>
      <c r="B72" s="25" t="s">
        <v>503</v>
      </c>
      <c r="C72" s="15" t="s">
        <v>500</v>
      </c>
      <c r="D72" s="15">
        <v>3</v>
      </c>
      <c r="E72" s="15">
        <f>62-21</f>
        <v>41</v>
      </c>
      <c r="F72" s="15">
        <v>21</v>
      </c>
      <c r="G72" s="15"/>
      <c r="H72" s="15"/>
      <c r="I72" s="15"/>
      <c r="J72" s="15"/>
    </row>
    <row r="73" spans="1:10">
      <c r="A73" s="14" t="s">
        <v>488</v>
      </c>
      <c r="B73" s="25" t="s">
        <v>503</v>
      </c>
      <c r="C73" s="15" t="s">
        <v>500</v>
      </c>
      <c r="D73" s="15">
        <v>1</v>
      </c>
      <c r="E73" s="15">
        <f>47-15</f>
        <v>32</v>
      </c>
      <c r="F73" s="15">
        <v>15</v>
      </c>
      <c r="G73" s="15"/>
      <c r="H73" s="15"/>
      <c r="I73" s="15"/>
      <c r="J73" s="15"/>
    </row>
    <row r="74" spans="1:10">
      <c r="A74" s="16" t="s">
        <v>489</v>
      </c>
      <c r="B74" s="17" t="s">
        <v>503</v>
      </c>
      <c r="C74" s="17" t="s">
        <v>500</v>
      </c>
      <c r="D74" s="17">
        <f>SUM(D72:D73)</f>
        <v>4</v>
      </c>
      <c r="E74" s="17">
        <f>SUM(E72:E73)</f>
        <v>73</v>
      </c>
      <c r="F74" s="17">
        <f t="shared" ref="F74" si="26">SUM(F72:F73)</f>
        <v>36</v>
      </c>
      <c r="G74" s="17">
        <f>D74/SUM(D74:F74)*100</f>
        <v>3.5398230088495577</v>
      </c>
      <c r="H74" s="17">
        <f>E74/SUM(D74:F74)*100</f>
        <v>64.601769911504419</v>
      </c>
      <c r="I74" s="17">
        <f>F74/SUM(D74:F74)*100</f>
        <v>31.858407079646017</v>
      </c>
      <c r="J74" s="17">
        <f>SUM(D74:F74)</f>
        <v>113</v>
      </c>
    </row>
    <row r="75" spans="1:10">
      <c r="A75" s="28" t="s">
        <v>499</v>
      </c>
      <c r="B75" s="18"/>
      <c r="C75" s="18"/>
      <c r="D75" s="26"/>
      <c r="E75" s="18"/>
      <c r="F75" s="19" t="s">
        <v>22</v>
      </c>
      <c r="G75" s="20">
        <f>AVERAGE(G47,G50,G53,G56,G59,G62,G65,G68,G71,G74)</f>
        <v>1.6777920857199895</v>
      </c>
      <c r="H75" s="20">
        <f>AVERAGE(H47,H50,H53,H56,H59,H62,H65,H68,H71,H74)</f>
        <v>64.58488383225729</v>
      </c>
      <c r="I75" s="20">
        <f t="shared" ref="I75" si="27">AVERAGE(I47,I50,I53,I56,I59,I62,I65,I68,I71,I74)</f>
        <v>33.737324082022731</v>
      </c>
      <c r="J75" s="21" t="s">
        <v>492</v>
      </c>
    </row>
    <row r="76" spans="1:10">
      <c r="A76" s="18"/>
      <c r="B76" s="18"/>
      <c r="C76" s="18"/>
      <c r="D76" s="26"/>
      <c r="E76" s="18"/>
      <c r="F76" s="13" t="s">
        <v>570</v>
      </c>
      <c r="G76" s="29">
        <f>STDEV(G47,G50,G53,G56,G59,G62,G65,G68,G71,G74)</f>
        <v>2.0259315003262852</v>
      </c>
      <c r="H76" s="29">
        <f>STDEV(H47,H50,H53,H56,H59,H62,H65,H68,H71,H74)</f>
        <v>7.869564407756144</v>
      </c>
      <c r="I76" s="29">
        <f t="shared" ref="I76" si="28">STDEV(I47,I50,I53,I56,I59,I62,I65,I68,I71,I74)</f>
        <v>7.120387365404504</v>
      </c>
      <c r="J76" s="27">
        <f>SUM(J47,J50,J53,J56,J59,J62,J65,J68,J71,J74)</f>
        <v>1242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2C30F-BF13-9545-8676-F03188A898A7}">
  <dimension ref="A1:K126"/>
  <sheetViews>
    <sheetView zoomScale="50" workbookViewId="0">
      <pane ySplit="1" topLeftCell="A2" activePane="bottomLeft" state="frozen"/>
      <selection pane="bottomLeft" activeCell="B1" sqref="B1"/>
    </sheetView>
  </sheetViews>
  <sheetFormatPr baseColWidth="10" defaultRowHeight="16"/>
  <cols>
    <col min="1" max="1" width="48.5" style="18" bestFit="1" customWidth="1"/>
    <col min="2" max="2" width="10.83203125" style="18"/>
    <col min="3" max="3" width="26.6640625" style="18" bestFit="1" customWidth="1"/>
    <col min="4" max="4" width="26.6640625" style="18" customWidth="1"/>
    <col min="5" max="6" width="25.5" style="18" bestFit="1" customWidth="1"/>
    <col min="7" max="7" width="20.5" style="18" bestFit="1" customWidth="1"/>
    <col min="8" max="9" width="20.33203125" style="18" bestFit="1" customWidth="1"/>
    <col min="10" max="10" width="15.33203125" style="18" bestFit="1" customWidth="1"/>
    <col min="11" max="11" width="19" style="18" bestFit="1" customWidth="1"/>
    <col min="12" max="16384" width="10.83203125" style="18"/>
  </cols>
  <sheetData>
    <row r="1" spans="1:11">
      <c r="A1" s="12" t="s">
        <v>0</v>
      </c>
      <c r="B1" s="12" t="s">
        <v>1</v>
      </c>
      <c r="C1" s="12" t="s">
        <v>25</v>
      </c>
      <c r="D1" s="12" t="s">
        <v>26</v>
      </c>
      <c r="E1" s="12" t="s">
        <v>573</v>
      </c>
      <c r="F1" s="12" t="s">
        <v>574</v>
      </c>
      <c r="G1" s="12" t="s">
        <v>575</v>
      </c>
      <c r="H1" s="13" t="s">
        <v>576</v>
      </c>
      <c r="I1" s="13" t="s">
        <v>577</v>
      </c>
      <c r="J1" s="13" t="s">
        <v>578</v>
      </c>
      <c r="K1" s="12" t="s">
        <v>491</v>
      </c>
    </row>
    <row r="2" spans="1:11">
      <c r="A2" s="15" t="s">
        <v>505</v>
      </c>
      <c r="B2" s="25"/>
      <c r="C2" s="25" t="s">
        <v>3</v>
      </c>
      <c r="D2" s="25" t="s">
        <v>500</v>
      </c>
      <c r="E2" s="15">
        <v>0</v>
      </c>
      <c r="F2" s="15">
        <f>172-13</f>
        <v>159</v>
      </c>
      <c r="G2" s="15">
        <v>13</v>
      </c>
      <c r="H2" s="15"/>
      <c r="I2" s="15"/>
      <c r="J2" s="15"/>
      <c r="K2" s="15"/>
    </row>
    <row r="3" spans="1:11">
      <c r="A3" s="15" t="s">
        <v>506</v>
      </c>
      <c r="B3" s="25"/>
      <c r="C3" s="25" t="s">
        <v>3</v>
      </c>
      <c r="D3" s="25" t="s">
        <v>500</v>
      </c>
      <c r="E3" s="25">
        <v>1</v>
      </c>
      <c r="F3" s="25">
        <f>136-22</f>
        <v>114</v>
      </c>
      <c r="G3" s="25">
        <v>22</v>
      </c>
      <c r="H3" s="25"/>
      <c r="I3" s="25"/>
      <c r="J3" s="25"/>
      <c r="K3" s="25"/>
    </row>
    <row r="4" spans="1:11">
      <c r="A4" s="17" t="s">
        <v>507</v>
      </c>
      <c r="B4" s="17"/>
      <c r="C4" s="17" t="s">
        <v>3</v>
      </c>
      <c r="D4" s="17" t="s">
        <v>500</v>
      </c>
      <c r="E4" s="17">
        <v>1</v>
      </c>
      <c r="F4" s="17">
        <f>SUM(F2:F3)</f>
        <v>273</v>
      </c>
      <c r="G4" s="17">
        <f>SUM(G2:G3)</f>
        <v>35</v>
      </c>
      <c r="H4" s="17">
        <f>(E4/K4)*100</f>
        <v>0.3236245954692557</v>
      </c>
      <c r="I4" s="17">
        <f>F4/K4*100</f>
        <v>88.349514563106794</v>
      </c>
      <c r="J4" s="17">
        <f>G4/K4*100</f>
        <v>11.326860841423949</v>
      </c>
      <c r="K4" s="17">
        <f>SUM(E4:G4)</f>
        <v>309</v>
      </c>
    </row>
    <row r="5" spans="1:11">
      <c r="A5" s="17" t="s">
        <v>519</v>
      </c>
      <c r="B5" s="17"/>
      <c r="C5" s="17" t="s">
        <v>3</v>
      </c>
      <c r="D5" s="17" t="s">
        <v>500</v>
      </c>
      <c r="E5" s="17">
        <v>4</v>
      </c>
      <c r="F5" s="17">
        <f>181-18</f>
        <v>163</v>
      </c>
      <c r="G5" s="17">
        <f>22-4</f>
        <v>18</v>
      </c>
      <c r="H5" s="17">
        <f>E5/K5*100</f>
        <v>2.1621621621621623</v>
      </c>
      <c r="I5" s="17">
        <f>F5/K5*100</f>
        <v>88.108108108108112</v>
      </c>
      <c r="J5" s="17">
        <f>G5/K5*100</f>
        <v>9.7297297297297298</v>
      </c>
      <c r="K5" s="17">
        <f>SUM(E5:G5)</f>
        <v>185</v>
      </c>
    </row>
    <row r="6" spans="1:11">
      <c r="A6" s="15" t="s">
        <v>510</v>
      </c>
      <c r="B6" s="15"/>
      <c r="C6" s="25" t="s">
        <v>3</v>
      </c>
      <c r="D6" s="15" t="s">
        <v>500</v>
      </c>
      <c r="E6" s="15">
        <v>2</v>
      </c>
      <c r="F6" s="15">
        <f>153-17</f>
        <v>136</v>
      </c>
      <c r="G6" s="15">
        <v>17</v>
      </c>
      <c r="H6" s="15"/>
      <c r="I6" s="15"/>
      <c r="J6" s="15"/>
      <c r="K6" s="15"/>
    </row>
    <row r="7" spans="1:11">
      <c r="A7" s="15" t="s">
        <v>509</v>
      </c>
      <c r="B7" s="15"/>
      <c r="C7" s="25" t="s">
        <v>3</v>
      </c>
      <c r="D7" s="15" t="s">
        <v>500</v>
      </c>
      <c r="E7" s="15">
        <v>1</v>
      </c>
      <c r="F7" s="15">
        <f>182-26</f>
        <v>156</v>
      </c>
      <c r="G7" s="15">
        <v>26</v>
      </c>
      <c r="H7" s="15"/>
      <c r="I7" s="15"/>
      <c r="J7" s="15"/>
      <c r="K7" s="15"/>
    </row>
    <row r="8" spans="1:11">
      <c r="A8" s="17" t="s">
        <v>511</v>
      </c>
      <c r="B8" s="17"/>
      <c r="C8" s="17" t="s">
        <v>3</v>
      </c>
      <c r="D8" s="17" t="s">
        <v>500</v>
      </c>
      <c r="E8" s="17">
        <f>SUM(E6:E7)</f>
        <v>3</v>
      </c>
      <c r="F8" s="17">
        <f>SUM(F6:F7)</f>
        <v>292</v>
      </c>
      <c r="G8" s="17">
        <f>SUM(G6:G7)</f>
        <v>43</v>
      </c>
      <c r="H8" s="17">
        <f>E8/K8*100</f>
        <v>0.8875739644970414</v>
      </c>
      <c r="I8" s="17">
        <f>F8/K8*100</f>
        <v>86.390532544378701</v>
      </c>
      <c r="J8" s="17">
        <f>G8/K8*100</f>
        <v>12.721893491124261</v>
      </c>
      <c r="K8" s="17">
        <f>SUM(E8:G8)</f>
        <v>338</v>
      </c>
    </row>
    <row r="9" spans="1:11">
      <c r="A9" s="15" t="s">
        <v>512</v>
      </c>
      <c r="B9" s="25"/>
      <c r="C9" s="25" t="s">
        <v>3</v>
      </c>
      <c r="D9" s="15" t="s">
        <v>500</v>
      </c>
      <c r="E9" s="25">
        <v>0</v>
      </c>
      <c r="F9" s="25">
        <f>122-28</f>
        <v>94</v>
      </c>
      <c r="G9" s="25">
        <v>28</v>
      </c>
      <c r="H9" s="15"/>
      <c r="I9" s="15"/>
      <c r="J9" s="15"/>
      <c r="K9" s="15"/>
    </row>
    <row r="10" spans="1:11">
      <c r="A10" s="15" t="s">
        <v>513</v>
      </c>
      <c r="B10" s="25"/>
      <c r="C10" s="25" t="s">
        <v>3</v>
      </c>
      <c r="D10" s="15" t="s">
        <v>500</v>
      </c>
      <c r="E10" s="25">
        <v>0</v>
      </c>
      <c r="F10" s="25">
        <f>198-37</f>
        <v>161</v>
      </c>
      <c r="G10" s="25">
        <v>37</v>
      </c>
      <c r="H10" s="15"/>
      <c r="I10" s="15"/>
      <c r="J10" s="15"/>
      <c r="K10" s="15"/>
    </row>
    <row r="11" spans="1:11">
      <c r="A11" s="17" t="s">
        <v>514</v>
      </c>
      <c r="B11" s="17"/>
      <c r="C11" s="17" t="s">
        <v>3</v>
      </c>
      <c r="D11" s="17" t="s">
        <v>500</v>
      </c>
      <c r="E11" s="17">
        <v>0</v>
      </c>
      <c r="F11" s="17">
        <f>SUM(F9:F10)</f>
        <v>255</v>
      </c>
      <c r="G11" s="17">
        <f>SUM(G9:G10)</f>
        <v>65</v>
      </c>
      <c r="H11" s="17">
        <f>E11/K11*100</f>
        <v>0</v>
      </c>
      <c r="I11" s="17">
        <f>F11/K11*100</f>
        <v>79.6875</v>
      </c>
      <c r="J11" s="17">
        <f>G11/K11*100</f>
        <v>20.3125</v>
      </c>
      <c r="K11" s="17">
        <f>SUM(E11:G11)</f>
        <v>320</v>
      </c>
    </row>
    <row r="12" spans="1:11">
      <c r="A12" s="17" t="s">
        <v>515</v>
      </c>
      <c r="B12" s="17"/>
      <c r="C12" s="17" t="s">
        <v>3</v>
      </c>
      <c r="D12" s="17" t="s">
        <v>500</v>
      </c>
      <c r="E12" s="17">
        <v>0</v>
      </c>
      <c r="F12" s="17">
        <f>181-40</f>
        <v>141</v>
      </c>
      <c r="G12" s="17">
        <v>40</v>
      </c>
      <c r="H12" s="17">
        <f>E12/K12*100</f>
        <v>0</v>
      </c>
      <c r="I12" s="17">
        <f>F12/K12*100</f>
        <v>77.900552486187848</v>
      </c>
      <c r="J12" s="17">
        <f>G12/K12*100</f>
        <v>22.099447513812155</v>
      </c>
      <c r="K12" s="17">
        <f>SUM(E12:G12)</f>
        <v>181</v>
      </c>
    </row>
    <row r="13" spans="1:11">
      <c r="A13" s="15" t="s">
        <v>516</v>
      </c>
      <c r="B13" s="25"/>
      <c r="C13" s="25" t="s">
        <v>3</v>
      </c>
      <c r="D13" s="15" t="s">
        <v>500</v>
      </c>
      <c r="E13" s="25">
        <v>1</v>
      </c>
      <c r="F13" s="25">
        <f>134-28</f>
        <v>106</v>
      </c>
      <c r="G13" s="25">
        <v>28</v>
      </c>
      <c r="H13" s="15"/>
      <c r="I13" s="15"/>
      <c r="J13" s="15"/>
      <c r="K13" s="15"/>
    </row>
    <row r="14" spans="1:11">
      <c r="A14" s="15" t="s">
        <v>517</v>
      </c>
      <c r="B14" s="25"/>
      <c r="C14" s="25" t="s">
        <v>3</v>
      </c>
      <c r="D14" s="15" t="s">
        <v>500</v>
      </c>
      <c r="E14" s="25">
        <v>0</v>
      </c>
      <c r="F14" s="25">
        <f>126-21</f>
        <v>105</v>
      </c>
      <c r="G14" s="25">
        <v>21</v>
      </c>
      <c r="H14" s="15"/>
      <c r="I14" s="15"/>
      <c r="J14" s="15"/>
      <c r="K14" s="15"/>
    </row>
    <row r="15" spans="1:11">
      <c r="A15" s="17" t="s">
        <v>518</v>
      </c>
      <c r="B15" s="17"/>
      <c r="C15" s="17" t="s">
        <v>3</v>
      </c>
      <c r="D15" s="17" t="s">
        <v>500</v>
      </c>
      <c r="E15" s="17">
        <f>SUM(E13:E14)</f>
        <v>1</v>
      </c>
      <c r="F15" s="17">
        <f t="shared" ref="F15:G15" si="0">SUM(F13:F14)</f>
        <v>211</v>
      </c>
      <c r="G15" s="17">
        <f t="shared" si="0"/>
        <v>49</v>
      </c>
      <c r="H15" s="17">
        <f>E15/K15*100</f>
        <v>0.38314176245210724</v>
      </c>
      <c r="I15" s="17">
        <f>F15/K15*100</f>
        <v>80.842911877394641</v>
      </c>
      <c r="J15" s="17">
        <f>G15/K15*100</f>
        <v>18.773946360153257</v>
      </c>
      <c r="K15" s="17">
        <f>SUM(E15:G15)</f>
        <v>261</v>
      </c>
    </row>
    <row r="16" spans="1:11">
      <c r="A16" s="16" t="s">
        <v>23</v>
      </c>
      <c r="B16" s="30"/>
      <c r="C16" s="31"/>
      <c r="D16" s="31"/>
      <c r="E16" s="30"/>
      <c r="F16" s="30"/>
      <c r="G16" s="13" t="s">
        <v>22</v>
      </c>
      <c r="H16" s="19">
        <f>AVERAGE(H4:H15)</f>
        <v>0.62608374743009454</v>
      </c>
      <c r="I16" s="19">
        <f t="shared" ref="I16:J16" si="1">AVERAGE(I4:I15)</f>
        <v>83.546519929862669</v>
      </c>
      <c r="J16" s="19">
        <f t="shared" si="1"/>
        <v>15.827396322707225</v>
      </c>
      <c r="K16" s="21" t="s">
        <v>492</v>
      </c>
    </row>
    <row r="17" spans="1:11">
      <c r="A17" s="30"/>
      <c r="B17" s="30"/>
      <c r="C17" s="31"/>
      <c r="D17" s="31"/>
      <c r="E17" s="30"/>
      <c r="F17" s="30"/>
      <c r="G17" s="32" t="s">
        <v>570</v>
      </c>
      <c r="H17" s="13">
        <f>STDEV(H4:H15)</f>
        <v>0.82004610773902664</v>
      </c>
      <c r="I17" s="13">
        <f t="shared" ref="I17:J17" si="2">STDEV(I4:I15)</f>
        <v>4.6052954650465159</v>
      </c>
      <c r="J17" s="13">
        <f t="shared" si="2"/>
        <v>5.200335442977738</v>
      </c>
      <c r="K17" s="25">
        <f>SUM(K4:K15)</f>
        <v>1594</v>
      </c>
    </row>
    <row r="18" spans="1:11">
      <c r="C18" s="33"/>
      <c r="D18" s="33"/>
    </row>
    <row r="19" spans="1:11">
      <c r="A19" s="30"/>
      <c r="B19" s="30"/>
      <c r="C19" s="31"/>
      <c r="D19" s="31"/>
      <c r="E19" s="30"/>
      <c r="F19" s="30"/>
      <c r="G19" s="30"/>
      <c r="H19" s="30"/>
      <c r="I19" s="30"/>
      <c r="J19" s="30"/>
      <c r="K19" s="30"/>
    </row>
    <row r="20" spans="1:11">
      <c r="A20" s="30"/>
      <c r="B20" s="30"/>
      <c r="C20" s="31"/>
      <c r="D20" s="31"/>
      <c r="E20" s="30"/>
      <c r="F20" s="30"/>
      <c r="G20" s="30"/>
      <c r="H20" s="30"/>
      <c r="I20" s="30"/>
      <c r="J20" s="30"/>
      <c r="K20" s="30"/>
    </row>
    <row r="21" spans="1:11">
      <c r="C21" s="33"/>
      <c r="D21" s="33"/>
    </row>
    <row r="22" spans="1:11">
      <c r="A22" s="17" t="s">
        <v>505</v>
      </c>
      <c r="B22" s="17"/>
      <c r="C22" s="17" t="s">
        <v>24</v>
      </c>
      <c r="D22" s="17" t="s">
        <v>500</v>
      </c>
      <c r="E22" s="17">
        <v>0</v>
      </c>
      <c r="F22" s="17">
        <f>53-35</f>
        <v>18</v>
      </c>
      <c r="G22" s="17">
        <v>35</v>
      </c>
      <c r="H22" s="17">
        <v>0</v>
      </c>
      <c r="I22" s="17">
        <f t="shared" ref="I22:I36" si="3">F22/K22*100</f>
        <v>33.962264150943398</v>
      </c>
      <c r="J22" s="17">
        <f t="shared" ref="J22:J36" si="4">G22/K22*100</f>
        <v>66.037735849056602</v>
      </c>
      <c r="K22" s="17">
        <f>SUM(F22:G22)</f>
        <v>53</v>
      </c>
    </row>
    <row r="23" spans="1:11">
      <c r="A23" s="17" t="s">
        <v>520</v>
      </c>
      <c r="B23" s="17"/>
      <c r="C23" s="17" t="s">
        <v>24</v>
      </c>
      <c r="D23" s="17" t="s">
        <v>500</v>
      </c>
      <c r="E23" s="17">
        <v>0</v>
      </c>
      <c r="F23" s="17">
        <f>56-29</f>
        <v>27</v>
      </c>
      <c r="G23" s="17">
        <v>29</v>
      </c>
      <c r="H23" s="17">
        <f t="shared" ref="H23:H36" si="5">E23/K23*100</f>
        <v>0</v>
      </c>
      <c r="I23" s="17">
        <f t="shared" si="3"/>
        <v>48.214285714285715</v>
      </c>
      <c r="J23" s="17">
        <f t="shared" si="4"/>
        <v>51.785714285714292</v>
      </c>
      <c r="K23" s="17">
        <f t="shared" ref="K23:K36" si="6">SUM(E23:G23)</f>
        <v>56</v>
      </c>
    </row>
    <row r="24" spans="1:11">
      <c r="A24" s="17" t="s">
        <v>508</v>
      </c>
      <c r="B24" s="17"/>
      <c r="C24" s="17" t="s">
        <v>24</v>
      </c>
      <c r="D24" s="17" t="s">
        <v>500</v>
      </c>
      <c r="E24" s="17">
        <v>0</v>
      </c>
      <c r="F24" s="17">
        <f>41-17</f>
        <v>24</v>
      </c>
      <c r="G24" s="17">
        <v>17</v>
      </c>
      <c r="H24" s="17">
        <f t="shared" si="5"/>
        <v>0</v>
      </c>
      <c r="I24" s="17">
        <f t="shared" si="3"/>
        <v>58.536585365853654</v>
      </c>
      <c r="J24" s="17">
        <f t="shared" si="4"/>
        <v>41.463414634146339</v>
      </c>
      <c r="K24" s="17">
        <f t="shared" si="6"/>
        <v>41</v>
      </c>
    </row>
    <row r="25" spans="1:11">
      <c r="A25" s="17" t="s">
        <v>521</v>
      </c>
      <c r="B25" s="17"/>
      <c r="C25" s="17" t="s">
        <v>24</v>
      </c>
      <c r="D25" s="17" t="s">
        <v>500</v>
      </c>
      <c r="E25" s="17">
        <v>2</v>
      </c>
      <c r="F25" s="17">
        <f>54-20</f>
        <v>34</v>
      </c>
      <c r="G25" s="17">
        <v>20</v>
      </c>
      <c r="H25" s="17">
        <f t="shared" si="5"/>
        <v>3.5714285714285712</v>
      </c>
      <c r="I25" s="17">
        <f t="shared" si="3"/>
        <v>60.714285714285708</v>
      </c>
      <c r="J25" s="17">
        <f t="shared" si="4"/>
        <v>35.714285714285715</v>
      </c>
      <c r="K25" s="17">
        <f t="shared" si="6"/>
        <v>56</v>
      </c>
    </row>
    <row r="26" spans="1:11">
      <c r="A26" s="17" t="s">
        <v>515</v>
      </c>
      <c r="B26" s="17"/>
      <c r="C26" s="17" t="s">
        <v>24</v>
      </c>
      <c r="D26" s="17" t="s">
        <v>500</v>
      </c>
      <c r="E26" s="17">
        <v>0</v>
      </c>
      <c r="F26" s="17">
        <f>58-13</f>
        <v>45</v>
      </c>
      <c r="G26" s="17">
        <v>13</v>
      </c>
      <c r="H26" s="17">
        <f t="shared" si="5"/>
        <v>0</v>
      </c>
      <c r="I26" s="17">
        <f t="shared" si="3"/>
        <v>77.58620689655173</v>
      </c>
      <c r="J26" s="17">
        <f t="shared" si="4"/>
        <v>22.413793103448278</v>
      </c>
      <c r="K26" s="17">
        <f t="shared" si="6"/>
        <v>58</v>
      </c>
    </row>
    <row r="27" spans="1:11">
      <c r="A27" s="17" t="s">
        <v>522</v>
      </c>
      <c r="B27" s="17"/>
      <c r="C27" s="17" t="s">
        <v>24</v>
      </c>
      <c r="D27" s="17" t="s">
        <v>500</v>
      </c>
      <c r="E27" s="17">
        <v>0</v>
      </c>
      <c r="F27" s="17">
        <f>65-24</f>
        <v>41</v>
      </c>
      <c r="G27" s="17">
        <v>24</v>
      </c>
      <c r="H27" s="17">
        <f t="shared" si="5"/>
        <v>0</v>
      </c>
      <c r="I27" s="17">
        <f t="shared" si="3"/>
        <v>63.076923076923073</v>
      </c>
      <c r="J27" s="17">
        <f t="shared" si="4"/>
        <v>36.923076923076927</v>
      </c>
      <c r="K27" s="17">
        <f t="shared" si="6"/>
        <v>65</v>
      </c>
    </row>
    <row r="28" spans="1:11">
      <c r="A28" s="17" t="s">
        <v>523</v>
      </c>
      <c r="B28" s="17"/>
      <c r="C28" s="17" t="s">
        <v>24</v>
      </c>
      <c r="D28" s="17" t="s">
        <v>500</v>
      </c>
      <c r="E28" s="17">
        <v>0</v>
      </c>
      <c r="F28" s="17">
        <f>55-12</f>
        <v>43</v>
      </c>
      <c r="G28" s="17">
        <v>12</v>
      </c>
      <c r="H28" s="17">
        <f t="shared" si="5"/>
        <v>0</v>
      </c>
      <c r="I28" s="17">
        <f t="shared" si="3"/>
        <v>78.181818181818187</v>
      </c>
      <c r="J28" s="17">
        <f t="shared" si="4"/>
        <v>21.818181818181817</v>
      </c>
      <c r="K28" s="17">
        <f t="shared" si="6"/>
        <v>55</v>
      </c>
    </row>
    <row r="29" spans="1:11">
      <c r="A29" s="17" t="s">
        <v>524</v>
      </c>
      <c r="B29" s="17"/>
      <c r="C29" s="17" t="s">
        <v>24</v>
      </c>
      <c r="D29" s="17" t="s">
        <v>500</v>
      </c>
      <c r="E29" s="17">
        <v>0</v>
      </c>
      <c r="F29" s="17">
        <f>65-14</f>
        <v>51</v>
      </c>
      <c r="G29" s="17">
        <v>14</v>
      </c>
      <c r="H29" s="17">
        <f t="shared" si="5"/>
        <v>0</v>
      </c>
      <c r="I29" s="17">
        <f t="shared" si="3"/>
        <v>78.461538461538467</v>
      </c>
      <c r="J29" s="17">
        <f t="shared" si="4"/>
        <v>21.53846153846154</v>
      </c>
      <c r="K29" s="17">
        <f t="shared" si="6"/>
        <v>65</v>
      </c>
    </row>
    <row r="30" spans="1:11">
      <c r="A30" s="17" t="s">
        <v>525</v>
      </c>
      <c r="B30" s="17"/>
      <c r="C30" s="17" t="s">
        <v>24</v>
      </c>
      <c r="D30" s="17" t="s">
        <v>500</v>
      </c>
      <c r="E30" s="17">
        <v>0</v>
      </c>
      <c r="F30" s="17">
        <f>72-25</f>
        <v>47</v>
      </c>
      <c r="G30" s="17">
        <v>25</v>
      </c>
      <c r="H30" s="17">
        <f t="shared" si="5"/>
        <v>0</v>
      </c>
      <c r="I30" s="17">
        <f t="shared" si="3"/>
        <v>65.277777777777786</v>
      </c>
      <c r="J30" s="17">
        <f t="shared" si="4"/>
        <v>34.722222222222221</v>
      </c>
      <c r="K30" s="17">
        <f t="shared" si="6"/>
        <v>72</v>
      </c>
    </row>
    <row r="31" spans="1:11">
      <c r="A31" s="17" t="s">
        <v>505</v>
      </c>
      <c r="B31" s="17"/>
      <c r="C31" s="17" t="s">
        <v>24</v>
      </c>
      <c r="D31" s="17" t="s">
        <v>500</v>
      </c>
      <c r="E31" s="17">
        <v>0</v>
      </c>
      <c r="F31" s="17">
        <f>59-32</f>
        <v>27</v>
      </c>
      <c r="G31" s="17">
        <v>32</v>
      </c>
      <c r="H31" s="17">
        <f t="shared" si="5"/>
        <v>0</v>
      </c>
      <c r="I31" s="17">
        <f t="shared" si="3"/>
        <v>45.762711864406782</v>
      </c>
      <c r="J31" s="17">
        <f t="shared" si="4"/>
        <v>54.237288135593218</v>
      </c>
      <c r="K31" s="17">
        <f t="shared" si="6"/>
        <v>59</v>
      </c>
    </row>
    <row r="32" spans="1:11">
      <c r="A32" s="17" t="s">
        <v>506</v>
      </c>
      <c r="B32" s="17"/>
      <c r="C32" s="17" t="s">
        <v>24</v>
      </c>
      <c r="D32" s="17" t="s">
        <v>500</v>
      </c>
      <c r="E32" s="17">
        <v>0</v>
      </c>
      <c r="F32" s="17">
        <f>49-28</f>
        <v>21</v>
      </c>
      <c r="G32" s="17">
        <v>28</v>
      </c>
      <c r="H32" s="17">
        <f t="shared" si="5"/>
        <v>0</v>
      </c>
      <c r="I32" s="17">
        <f t="shared" si="3"/>
        <v>42.857142857142854</v>
      </c>
      <c r="J32" s="17">
        <f t="shared" si="4"/>
        <v>57.142857142857139</v>
      </c>
      <c r="K32" s="17">
        <f t="shared" si="6"/>
        <v>49</v>
      </c>
    </row>
    <row r="33" spans="1:11">
      <c r="A33" s="17" t="s">
        <v>526</v>
      </c>
      <c r="B33" s="17"/>
      <c r="C33" s="17" t="s">
        <v>24</v>
      </c>
      <c r="D33" s="17" t="s">
        <v>500</v>
      </c>
      <c r="E33" s="17">
        <v>0</v>
      </c>
      <c r="F33" s="17">
        <f>69-49</f>
        <v>20</v>
      </c>
      <c r="G33" s="17">
        <v>49</v>
      </c>
      <c r="H33" s="17">
        <f t="shared" si="5"/>
        <v>0</v>
      </c>
      <c r="I33" s="17">
        <f t="shared" si="3"/>
        <v>28.985507246376812</v>
      </c>
      <c r="J33" s="17">
        <f t="shared" si="4"/>
        <v>71.014492753623188</v>
      </c>
      <c r="K33" s="17">
        <f t="shared" si="6"/>
        <v>69</v>
      </c>
    </row>
    <row r="34" spans="1:11">
      <c r="A34" s="17" t="s">
        <v>527</v>
      </c>
      <c r="B34" s="17"/>
      <c r="C34" s="17" t="s">
        <v>24</v>
      </c>
      <c r="D34" s="17" t="s">
        <v>500</v>
      </c>
      <c r="E34" s="17">
        <v>0</v>
      </c>
      <c r="F34" s="17">
        <f>71-55</f>
        <v>16</v>
      </c>
      <c r="G34" s="17">
        <v>55</v>
      </c>
      <c r="H34" s="17">
        <f t="shared" si="5"/>
        <v>0</v>
      </c>
      <c r="I34" s="17">
        <f t="shared" si="3"/>
        <v>22.535211267605636</v>
      </c>
      <c r="J34" s="17">
        <f t="shared" si="4"/>
        <v>77.464788732394368</v>
      </c>
      <c r="K34" s="17">
        <f t="shared" si="6"/>
        <v>71</v>
      </c>
    </row>
    <row r="35" spans="1:11">
      <c r="A35" s="17" t="s">
        <v>528</v>
      </c>
      <c r="B35" s="17"/>
      <c r="C35" s="17" t="s">
        <v>24</v>
      </c>
      <c r="D35" s="17" t="s">
        <v>500</v>
      </c>
      <c r="E35" s="17">
        <v>0</v>
      </c>
      <c r="F35" s="17">
        <f>54-35</f>
        <v>19</v>
      </c>
      <c r="G35" s="17">
        <v>35</v>
      </c>
      <c r="H35" s="17">
        <f t="shared" si="5"/>
        <v>0</v>
      </c>
      <c r="I35" s="17">
        <f t="shared" si="3"/>
        <v>35.185185185185183</v>
      </c>
      <c r="J35" s="17">
        <f t="shared" si="4"/>
        <v>64.81481481481481</v>
      </c>
      <c r="K35" s="17">
        <f t="shared" si="6"/>
        <v>54</v>
      </c>
    </row>
    <row r="36" spans="1:11">
      <c r="A36" s="17" t="s">
        <v>529</v>
      </c>
      <c r="B36" s="17"/>
      <c r="C36" s="17" t="s">
        <v>24</v>
      </c>
      <c r="D36" s="17" t="s">
        <v>500</v>
      </c>
      <c r="E36" s="17">
        <v>0</v>
      </c>
      <c r="F36" s="17">
        <f>55-41</f>
        <v>14</v>
      </c>
      <c r="G36" s="17">
        <v>41</v>
      </c>
      <c r="H36" s="17">
        <f t="shared" si="5"/>
        <v>0</v>
      </c>
      <c r="I36" s="17">
        <f t="shared" si="3"/>
        <v>25.454545454545453</v>
      </c>
      <c r="J36" s="17">
        <f t="shared" si="4"/>
        <v>74.545454545454547</v>
      </c>
      <c r="K36" s="17">
        <f t="shared" si="6"/>
        <v>55</v>
      </c>
    </row>
    <row r="37" spans="1:11">
      <c r="A37" s="16" t="s">
        <v>568</v>
      </c>
      <c r="C37" s="33"/>
      <c r="D37" s="33"/>
      <c r="G37" s="13" t="s">
        <v>22</v>
      </c>
      <c r="H37" s="20">
        <f>AVERAGE(H23:H36,H22)</f>
        <v>0.23809523809523808</v>
      </c>
      <c r="I37" s="20">
        <f>AVERAGE(I23:I36,I22)</f>
        <v>50.986132614349366</v>
      </c>
      <c r="J37" s="20">
        <f>AVERAGE(J23:J36,J22)</f>
        <v>48.775772147555394</v>
      </c>
      <c r="K37" s="21" t="s">
        <v>492</v>
      </c>
    </row>
    <row r="38" spans="1:11">
      <c r="C38" s="33"/>
      <c r="D38" s="33"/>
      <c r="G38" s="32" t="s">
        <v>570</v>
      </c>
      <c r="H38" s="29">
        <f>STDEV(H23:H36,H22)</f>
        <v>0.92213889195414689</v>
      </c>
      <c r="I38" s="29">
        <f>STDEV(I23:I36,I22)</f>
        <v>19.438595596804596</v>
      </c>
      <c r="J38" s="29">
        <f>STDEV(J23:J36,J22)</f>
        <v>19.587564481846659</v>
      </c>
      <c r="K38" s="25">
        <f>SUM(K23:K36,K22)</f>
        <v>878</v>
      </c>
    </row>
    <row r="39" spans="1:11">
      <c r="C39" s="33"/>
      <c r="D39" s="33"/>
    </row>
    <row r="40" spans="1:11">
      <c r="C40" s="33"/>
      <c r="D40" s="33"/>
    </row>
    <row r="41" spans="1:11">
      <c r="A41" s="15" t="s">
        <v>530</v>
      </c>
      <c r="B41" s="25"/>
      <c r="C41" s="25" t="s">
        <v>739</v>
      </c>
      <c r="D41" s="25" t="s">
        <v>500</v>
      </c>
      <c r="E41" s="15">
        <v>0</v>
      </c>
      <c r="F41" s="15">
        <f>123-5</f>
        <v>118</v>
      </c>
      <c r="G41" s="15">
        <v>5</v>
      </c>
      <c r="H41" s="15"/>
      <c r="I41" s="15"/>
      <c r="J41" s="15"/>
      <c r="K41" s="15"/>
    </row>
    <row r="42" spans="1:11">
      <c r="A42" s="15" t="s">
        <v>531</v>
      </c>
      <c r="B42" s="15"/>
      <c r="C42" s="25" t="s">
        <v>739</v>
      </c>
      <c r="D42" s="15" t="s">
        <v>500</v>
      </c>
      <c r="E42" s="15">
        <v>2</v>
      </c>
      <c r="F42" s="15">
        <f>133-2</f>
        <v>131</v>
      </c>
      <c r="G42" s="15">
        <v>2</v>
      </c>
      <c r="H42" s="15"/>
      <c r="I42" s="15"/>
      <c r="J42" s="15"/>
      <c r="K42" s="15"/>
    </row>
    <row r="43" spans="1:11">
      <c r="A43" s="17" t="s">
        <v>532</v>
      </c>
      <c r="B43" s="17"/>
      <c r="C43" s="17" t="s">
        <v>739</v>
      </c>
      <c r="D43" s="17" t="s">
        <v>500</v>
      </c>
      <c r="E43" s="17">
        <v>2</v>
      </c>
      <c r="F43" s="17">
        <f>SUM(F41:F42)</f>
        <v>249</v>
      </c>
      <c r="G43" s="17">
        <v>7</v>
      </c>
      <c r="H43" s="17">
        <f>E43/K43*100</f>
        <v>0.77519379844961245</v>
      </c>
      <c r="I43" s="17">
        <f>F43/K43*100</f>
        <v>96.511627906976756</v>
      </c>
      <c r="J43" s="17">
        <f>G43/K43*100</f>
        <v>2.7131782945736433</v>
      </c>
      <c r="K43" s="17">
        <f>SUM(E43:G43)</f>
        <v>258</v>
      </c>
    </row>
    <row r="44" spans="1:11">
      <c r="A44" s="15" t="s">
        <v>533</v>
      </c>
      <c r="B44" s="15"/>
      <c r="C44" s="25" t="s">
        <v>739</v>
      </c>
      <c r="D44" s="25" t="s">
        <v>500</v>
      </c>
      <c r="E44" s="15">
        <v>0</v>
      </c>
      <c r="F44" s="15">
        <v>100</v>
      </c>
      <c r="G44" s="15">
        <v>7</v>
      </c>
      <c r="H44" s="15"/>
      <c r="I44" s="15"/>
      <c r="J44" s="15"/>
      <c r="K44" s="15"/>
    </row>
    <row r="45" spans="1:11">
      <c r="A45" s="15" t="s">
        <v>534</v>
      </c>
      <c r="B45" s="15"/>
      <c r="C45" s="25" t="s">
        <v>739</v>
      </c>
      <c r="D45" s="15" t="s">
        <v>500</v>
      </c>
      <c r="E45" s="15">
        <v>1</v>
      </c>
      <c r="F45" s="15">
        <v>189</v>
      </c>
      <c r="G45" s="15">
        <v>10</v>
      </c>
      <c r="H45" s="15"/>
      <c r="I45" s="15"/>
      <c r="J45" s="15"/>
      <c r="K45" s="15"/>
    </row>
    <row r="46" spans="1:11">
      <c r="A46" s="17" t="s">
        <v>535</v>
      </c>
      <c r="B46" s="17"/>
      <c r="C46" s="17" t="s">
        <v>739</v>
      </c>
      <c r="D46" s="17" t="s">
        <v>500</v>
      </c>
      <c r="E46" s="17">
        <v>1</v>
      </c>
      <c r="F46" s="17">
        <v>289</v>
      </c>
      <c r="G46" s="17">
        <v>17</v>
      </c>
      <c r="H46" s="17">
        <f>E46/K46*100</f>
        <v>0.32573289902280134</v>
      </c>
      <c r="I46" s="17">
        <f>F46/K46*100</f>
        <v>94.13680781758957</v>
      </c>
      <c r="J46" s="17">
        <f>G46/K46*100</f>
        <v>5.5374592833876219</v>
      </c>
      <c r="K46" s="17">
        <f>SUM(E46:G46)</f>
        <v>307</v>
      </c>
    </row>
    <row r="47" spans="1:11">
      <c r="A47" s="15" t="s">
        <v>536</v>
      </c>
      <c r="B47" s="15"/>
      <c r="C47" s="25" t="s">
        <v>739</v>
      </c>
      <c r="D47" s="25" t="s">
        <v>500</v>
      </c>
      <c r="E47" s="15">
        <v>0</v>
      </c>
      <c r="F47" s="15">
        <v>102</v>
      </c>
      <c r="G47" s="15">
        <v>18</v>
      </c>
      <c r="H47" s="15"/>
      <c r="I47" s="15"/>
      <c r="J47" s="15"/>
      <c r="K47" s="15"/>
    </row>
    <row r="48" spans="1:11">
      <c r="A48" s="15" t="s">
        <v>537</v>
      </c>
      <c r="B48" s="15"/>
      <c r="C48" s="25" t="s">
        <v>739</v>
      </c>
      <c r="D48" s="15" t="s">
        <v>500</v>
      </c>
      <c r="E48" s="15">
        <v>0</v>
      </c>
      <c r="F48" s="15">
        <v>152</v>
      </c>
      <c r="G48" s="15">
        <v>4</v>
      </c>
      <c r="H48" s="15"/>
      <c r="I48" s="15"/>
      <c r="J48" s="15"/>
      <c r="K48" s="15"/>
    </row>
    <row r="49" spans="1:11">
      <c r="A49" s="17" t="s">
        <v>538</v>
      </c>
      <c r="B49" s="17"/>
      <c r="C49" s="17" t="s">
        <v>739</v>
      </c>
      <c r="D49" s="17" t="s">
        <v>500</v>
      </c>
      <c r="E49" s="17">
        <v>0</v>
      </c>
      <c r="F49" s="17">
        <f>SUM(F47:F48)</f>
        <v>254</v>
      </c>
      <c r="G49" s="17">
        <f>SUM(G47:G48)</f>
        <v>22</v>
      </c>
      <c r="H49" s="17">
        <f>E49/K49*100</f>
        <v>0</v>
      </c>
      <c r="I49" s="17">
        <f>F49/K49*100</f>
        <v>92.028985507246375</v>
      </c>
      <c r="J49" s="17">
        <f>G49/K49*100</f>
        <v>7.9710144927536222</v>
      </c>
      <c r="K49" s="17">
        <f>SUM(E49:G49)</f>
        <v>276</v>
      </c>
    </row>
    <row r="50" spans="1:11">
      <c r="A50" s="15" t="s">
        <v>539</v>
      </c>
      <c r="B50" s="15"/>
      <c r="C50" s="25" t="s">
        <v>739</v>
      </c>
      <c r="D50" s="25" t="s">
        <v>500</v>
      </c>
      <c r="E50" s="15">
        <v>0</v>
      </c>
      <c r="F50" s="15">
        <f>216-8</f>
        <v>208</v>
      </c>
      <c r="G50" s="15">
        <v>8</v>
      </c>
      <c r="H50" s="15"/>
      <c r="I50" s="15"/>
      <c r="J50" s="15"/>
      <c r="K50" s="15"/>
    </row>
    <row r="51" spans="1:11">
      <c r="A51" s="15" t="s">
        <v>540</v>
      </c>
      <c r="B51" s="15"/>
      <c r="C51" s="25" t="s">
        <v>739</v>
      </c>
      <c r="D51" s="15" t="s">
        <v>500</v>
      </c>
      <c r="E51" s="15">
        <v>0</v>
      </c>
      <c r="F51" s="15">
        <f>129-5</f>
        <v>124</v>
      </c>
      <c r="G51" s="15">
        <v>5</v>
      </c>
      <c r="H51" s="15"/>
      <c r="I51" s="15"/>
      <c r="J51" s="15"/>
      <c r="K51" s="15"/>
    </row>
    <row r="52" spans="1:11">
      <c r="A52" s="17" t="s">
        <v>541</v>
      </c>
      <c r="B52" s="17"/>
      <c r="C52" s="17" t="s">
        <v>739</v>
      </c>
      <c r="D52" s="17" t="s">
        <v>500</v>
      </c>
      <c r="E52" s="17">
        <v>0</v>
      </c>
      <c r="F52" s="17">
        <f>SUM(F50:F51)</f>
        <v>332</v>
      </c>
      <c r="G52" s="17">
        <f>SUM(G50:G51)</f>
        <v>13</v>
      </c>
      <c r="H52" s="17">
        <f>E52/K52*100</f>
        <v>0</v>
      </c>
      <c r="I52" s="17">
        <f>F52/K52*100</f>
        <v>96.231884057971016</v>
      </c>
      <c r="J52" s="17">
        <f>G52/K52*100</f>
        <v>3.7681159420289858</v>
      </c>
      <c r="K52" s="17">
        <f>SUM(E52:G52)</f>
        <v>345</v>
      </c>
    </row>
    <row r="53" spans="1:11">
      <c r="A53" s="17" t="s">
        <v>520</v>
      </c>
      <c r="B53" s="17"/>
      <c r="C53" s="17" t="s">
        <v>739</v>
      </c>
      <c r="D53" s="17" t="s">
        <v>500</v>
      </c>
      <c r="E53" s="17">
        <v>1</v>
      </c>
      <c r="F53" s="17">
        <f>64-6</f>
        <v>58</v>
      </c>
      <c r="G53" s="17">
        <v>6</v>
      </c>
      <c r="H53" s="17">
        <f>E53/K53*100</f>
        <v>1.5384615384615385</v>
      </c>
      <c r="I53" s="17">
        <f>F53/K53*100</f>
        <v>89.230769230769241</v>
      </c>
      <c r="J53" s="17">
        <f>G53/K53*100</f>
        <v>9.2307692307692317</v>
      </c>
      <c r="K53" s="17">
        <f>SUM(E53:G53)</f>
        <v>65</v>
      </c>
    </row>
    <row r="54" spans="1:11">
      <c r="A54" s="16" t="s">
        <v>360</v>
      </c>
      <c r="C54" s="33"/>
      <c r="D54" s="33"/>
      <c r="G54" s="13" t="s">
        <v>22</v>
      </c>
      <c r="H54" s="20">
        <f>AVERAGE(H43:H53)</f>
        <v>0.52787764718679053</v>
      </c>
      <c r="I54" s="20">
        <f t="shared" ref="I54:J54" si="7">AVERAGE(I43:I53)</f>
        <v>93.628014904110586</v>
      </c>
      <c r="J54" s="20">
        <f t="shared" si="7"/>
        <v>5.844107448702621</v>
      </c>
      <c r="K54" s="14" t="s">
        <v>492</v>
      </c>
    </row>
    <row r="55" spans="1:11">
      <c r="C55" s="33"/>
      <c r="D55" s="33"/>
      <c r="G55" s="13" t="s">
        <v>570</v>
      </c>
      <c r="H55" s="29">
        <f>STDEV(H43:H53)</f>
        <v>0.64819310394138563</v>
      </c>
      <c r="I55" s="29">
        <f t="shared" ref="I55:J55" si="8">STDEV(I43:I53)</f>
        <v>3.051511644795339</v>
      </c>
      <c r="J55" s="29">
        <f t="shared" si="8"/>
        <v>2.7477128125675385</v>
      </c>
      <c r="K55" s="25">
        <f>SUM(K43:K53)</f>
        <v>1251</v>
      </c>
    </row>
    <row r="56" spans="1:11">
      <c r="C56" s="33"/>
      <c r="D56" s="33"/>
    </row>
    <row r="57" spans="1:11">
      <c r="C57" s="33"/>
      <c r="D57" s="33"/>
    </row>
    <row r="58" spans="1:11">
      <c r="C58" s="33"/>
      <c r="D58" s="33"/>
    </row>
    <row r="59" spans="1:11">
      <c r="C59" s="33"/>
      <c r="D59" s="33"/>
    </row>
    <row r="60" spans="1:11">
      <c r="A60" s="17" t="s">
        <v>505</v>
      </c>
      <c r="B60" s="17"/>
      <c r="C60" s="17" t="s">
        <v>490</v>
      </c>
      <c r="D60" s="17" t="s">
        <v>500</v>
      </c>
      <c r="E60" s="17">
        <v>0</v>
      </c>
      <c r="F60" s="17">
        <f>95-7</f>
        <v>88</v>
      </c>
      <c r="G60" s="17">
        <v>7</v>
      </c>
      <c r="H60" s="17">
        <f t="shared" ref="H60:H76" si="9">E60/K60*100</f>
        <v>0</v>
      </c>
      <c r="I60" s="17">
        <f t="shared" ref="I60:I76" si="10">F60/K60*100</f>
        <v>92.631578947368425</v>
      </c>
      <c r="J60" s="17">
        <f t="shared" ref="J60:J76" si="11">G60/K60*100</f>
        <v>7.3684210526315779</v>
      </c>
      <c r="K60" s="17">
        <f t="shared" ref="K60:K76" si="12">SUM(E60:G60)</f>
        <v>95</v>
      </c>
    </row>
    <row r="61" spans="1:11">
      <c r="A61" s="17" t="s">
        <v>506</v>
      </c>
      <c r="B61" s="17"/>
      <c r="C61" s="17" t="s">
        <v>490</v>
      </c>
      <c r="D61" s="17" t="s">
        <v>500</v>
      </c>
      <c r="E61" s="17">
        <v>0</v>
      </c>
      <c r="F61" s="17">
        <f>171-14</f>
        <v>157</v>
      </c>
      <c r="G61" s="17">
        <v>14</v>
      </c>
      <c r="H61" s="17">
        <f t="shared" si="9"/>
        <v>0</v>
      </c>
      <c r="I61" s="17">
        <f t="shared" si="10"/>
        <v>91.812865497076018</v>
      </c>
      <c r="J61" s="17">
        <f t="shared" si="11"/>
        <v>8.1871345029239766</v>
      </c>
      <c r="K61" s="17">
        <f t="shared" si="12"/>
        <v>171</v>
      </c>
    </row>
    <row r="62" spans="1:11">
      <c r="A62" s="17" t="s">
        <v>526</v>
      </c>
      <c r="B62" s="17"/>
      <c r="C62" s="17" t="s">
        <v>490</v>
      </c>
      <c r="D62" s="17" t="s">
        <v>500</v>
      </c>
      <c r="E62" s="17">
        <v>0</v>
      </c>
      <c r="F62" s="17">
        <f>166-15</f>
        <v>151</v>
      </c>
      <c r="G62" s="17">
        <v>15</v>
      </c>
      <c r="H62" s="17">
        <f t="shared" si="9"/>
        <v>0</v>
      </c>
      <c r="I62" s="17">
        <f t="shared" si="10"/>
        <v>90.963855421686745</v>
      </c>
      <c r="J62" s="17">
        <f t="shared" si="11"/>
        <v>9.0361445783132535</v>
      </c>
      <c r="K62" s="17">
        <f t="shared" si="12"/>
        <v>166</v>
      </c>
    </row>
    <row r="63" spans="1:11">
      <c r="A63" s="17" t="s">
        <v>520</v>
      </c>
      <c r="B63" s="17"/>
      <c r="C63" s="17" t="s">
        <v>490</v>
      </c>
      <c r="D63" s="17" t="s">
        <v>500</v>
      </c>
      <c r="E63" s="17">
        <v>0</v>
      </c>
      <c r="F63" s="17">
        <v>81</v>
      </c>
      <c r="G63" s="17">
        <v>9</v>
      </c>
      <c r="H63" s="17">
        <f t="shared" si="9"/>
        <v>0</v>
      </c>
      <c r="I63" s="17">
        <f t="shared" si="10"/>
        <v>90</v>
      </c>
      <c r="J63" s="17">
        <f t="shared" si="11"/>
        <v>10</v>
      </c>
      <c r="K63" s="17">
        <f t="shared" si="12"/>
        <v>90</v>
      </c>
    </row>
    <row r="64" spans="1:11">
      <c r="A64" s="17" t="s">
        <v>508</v>
      </c>
      <c r="B64" s="17"/>
      <c r="C64" s="17" t="s">
        <v>490</v>
      </c>
      <c r="D64" s="17" t="s">
        <v>500</v>
      </c>
      <c r="E64" s="17">
        <v>0</v>
      </c>
      <c r="F64" s="17">
        <v>56</v>
      </c>
      <c r="G64" s="17">
        <v>1</v>
      </c>
      <c r="H64" s="17">
        <f t="shared" si="9"/>
        <v>0</v>
      </c>
      <c r="I64" s="17">
        <f t="shared" si="10"/>
        <v>98.245614035087712</v>
      </c>
      <c r="J64" s="17">
        <f t="shared" si="11"/>
        <v>1.7543859649122806</v>
      </c>
      <c r="K64" s="17">
        <f t="shared" si="12"/>
        <v>57</v>
      </c>
    </row>
    <row r="65" spans="1:11">
      <c r="A65" s="17" t="s">
        <v>521</v>
      </c>
      <c r="B65" s="17"/>
      <c r="C65" s="17" t="s">
        <v>490</v>
      </c>
      <c r="D65" s="17" t="s">
        <v>500</v>
      </c>
      <c r="E65" s="17">
        <v>0</v>
      </c>
      <c r="F65" s="17">
        <v>33</v>
      </c>
      <c r="G65" s="17">
        <v>0</v>
      </c>
      <c r="H65" s="17">
        <f t="shared" si="9"/>
        <v>0</v>
      </c>
      <c r="I65" s="17">
        <f t="shared" si="10"/>
        <v>100</v>
      </c>
      <c r="J65" s="17">
        <f t="shared" si="11"/>
        <v>0</v>
      </c>
      <c r="K65" s="17">
        <f t="shared" si="12"/>
        <v>33</v>
      </c>
    </row>
    <row r="66" spans="1:11">
      <c r="A66" s="17" t="s">
        <v>515</v>
      </c>
      <c r="B66" s="17"/>
      <c r="C66" s="17" t="s">
        <v>490</v>
      </c>
      <c r="D66" s="17" t="s">
        <v>500</v>
      </c>
      <c r="E66" s="17">
        <v>0</v>
      </c>
      <c r="F66" s="17">
        <v>181</v>
      </c>
      <c r="G66" s="17">
        <v>0</v>
      </c>
      <c r="H66" s="17">
        <f t="shared" si="9"/>
        <v>0</v>
      </c>
      <c r="I66" s="17">
        <f t="shared" si="10"/>
        <v>100</v>
      </c>
      <c r="J66" s="17">
        <f t="shared" si="11"/>
        <v>0</v>
      </c>
      <c r="K66" s="17">
        <f t="shared" si="12"/>
        <v>181</v>
      </c>
    </row>
    <row r="67" spans="1:11">
      <c r="A67" s="17" t="s">
        <v>522</v>
      </c>
      <c r="B67" s="17"/>
      <c r="C67" s="17" t="s">
        <v>490</v>
      </c>
      <c r="D67" s="17" t="s">
        <v>500</v>
      </c>
      <c r="E67" s="17">
        <v>0</v>
      </c>
      <c r="F67" s="17">
        <v>31</v>
      </c>
      <c r="G67" s="17">
        <v>0</v>
      </c>
      <c r="H67" s="17">
        <f t="shared" si="9"/>
        <v>0</v>
      </c>
      <c r="I67" s="17">
        <f t="shared" si="10"/>
        <v>100</v>
      </c>
      <c r="J67" s="17">
        <f t="shared" si="11"/>
        <v>0</v>
      </c>
      <c r="K67" s="17">
        <f t="shared" si="12"/>
        <v>31</v>
      </c>
    </row>
    <row r="68" spans="1:11">
      <c r="A68" s="17" t="s">
        <v>523</v>
      </c>
      <c r="B68" s="17"/>
      <c r="C68" s="17" t="s">
        <v>490</v>
      </c>
      <c r="D68" s="17" t="s">
        <v>500</v>
      </c>
      <c r="E68" s="17">
        <v>0</v>
      </c>
      <c r="F68" s="17">
        <v>39</v>
      </c>
      <c r="G68" s="17">
        <v>1</v>
      </c>
      <c r="H68" s="17">
        <f t="shared" si="9"/>
        <v>0</v>
      </c>
      <c r="I68" s="17">
        <f t="shared" si="10"/>
        <v>97.5</v>
      </c>
      <c r="J68" s="17">
        <f t="shared" si="11"/>
        <v>2.5</v>
      </c>
      <c r="K68" s="17">
        <f t="shared" si="12"/>
        <v>40</v>
      </c>
    </row>
    <row r="69" spans="1:11">
      <c r="A69" s="17" t="s">
        <v>524</v>
      </c>
      <c r="B69" s="17"/>
      <c r="C69" s="17" t="s">
        <v>490</v>
      </c>
      <c r="D69" s="17" t="s">
        <v>500</v>
      </c>
      <c r="E69" s="17">
        <v>0</v>
      </c>
      <c r="F69" s="17">
        <v>48</v>
      </c>
      <c r="G69" s="17">
        <v>0</v>
      </c>
      <c r="H69" s="17">
        <f t="shared" si="9"/>
        <v>0</v>
      </c>
      <c r="I69" s="17">
        <f t="shared" si="10"/>
        <v>100</v>
      </c>
      <c r="J69" s="17">
        <f t="shared" si="11"/>
        <v>0</v>
      </c>
      <c r="K69" s="17">
        <f t="shared" si="12"/>
        <v>48</v>
      </c>
    </row>
    <row r="70" spans="1:11">
      <c r="A70" s="17" t="s">
        <v>525</v>
      </c>
      <c r="B70" s="17"/>
      <c r="C70" s="17" t="s">
        <v>490</v>
      </c>
      <c r="D70" s="17" t="s">
        <v>500</v>
      </c>
      <c r="E70" s="17">
        <v>0</v>
      </c>
      <c r="F70" s="17">
        <v>126</v>
      </c>
      <c r="G70" s="17">
        <v>1</v>
      </c>
      <c r="H70" s="17">
        <f t="shared" si="9"/>
        <v>0</v>
      </c>
      <c r="I70" s="17">
        <f t="shared" si="10"/>
        <v>99.212598425196859</v>
      </c>
      <c r="J70" s="17">
        <f t="shared" si="11"/>
        <v>0.78740157480314954</v>
      </c>
      <c r="K70" s="17">
        <f t="shared" si="12"/>
        <v>127</v>
      </c>
    </row>
    <row r="71" spans="1:11">
      <c r="A71" s="17" t="s">
        <v>542</v>
      </c>
      <c r="B71" s="17"/>
      <c r="C71" s="17" t="s">
        <v>490</v>
      </c>
      <c r="D71" s="17" t="s">
        <v>500</v>
      </c>
      <c r="E71" s="17">
        <v>0</v>
      </c>
      <c r="F71" s="17">
        <v>62</v>
      </c>
      <c r="G71" s="17">
        <v>3</v>
      </c>
      <c r="H71" s="17">
        <f t="shared" si="9"/>
        <v>0</v>
      </c>
      <c r="I71" s="17">
        <f t="shared" si="10"/>
        <v>95.384615384615387</v>
      </c>
      <c r="J71" s="17">
        <f t="shared" si="11"/>
        <v>4.6153846153846159</v>
      </c>
      <c r="K71" s="17">
        <f t="shared" si="12"/>
        <v>65</v>
      </c>
    </row>
    <row r="72" spans="1:11">
      <c r="A72" s="17" t="s">
        <v>543</v>
      </c>
      <c r="B72" s="17"/>
      <c r="C72" s="17" t="s">
        <v>490</v>
      </c>
      <c r="D72" s="17" t="s">
        <v>500</v>
      </c>
      <c r="E72" s="17">
        <v>0</v>
      </c>
      <c r="F72" s="17">
        <v>51</v>
      </c>
      <c r="G72" s="17">
        <v>2</v>
      </c>
      <c r="H72" s="17">
        <f t="shared" si="9"/>
        <v>0</v>
      </c>
      <c r="I72" s="17">
        <f t="shared" si="10"/>
        <v>96.226415094339629</v>
      </c>
      <c r="J72" s="17">
        <f t="shared" si="11"/>
        <v>3.7735849056603774</v>
      </c>
      <c r="K72" s="17">
        <f t="shared" si="12"/>
        <v>53</v>
      </c>
    </row>
    <row r="73" spans="1:11">
      <c r="A73" s="17" t="s">
        <v>544</v>
      </c>
      <c r="B73" s="17"/>
      <c r="C73" s="17" t="s">
        <v>490</v>
      </c>
      <c r="D73" s="17" t="s">
        <v>500</v>
      </c>
      <c r="E73" s="17">
        <v>0</v>
      </c>
      <c r="F73" s="17">
        <v>71</v>
      </c>
      <c r="G73" s="17">
        <v>2</v>
      </c>
      <c r="H73" s="17">
        <f t="shared" si="9"/>
        <v>0</v>
      </c>
      <c r="I73" s="17">
        <f t="shared" si="10"/>
        <v>97.260273972602747</v>
      </c>
      <c r="J73" s="17">
        <f t="shared" si="11"/>
        <v>2.7397260273972601</v>
      </c>
      <c r="K73" s="17">
        <f t="shared" si="12"/>
        <v>73</v>
      </c>
    </row>
    <row r="74" spans="1:11">
      <c r="A74" s="17" t="s">
        <v>545</v>
      </c>
      <c r="B74" s="17"/>
      <c r="C74" s="17" t="s">
        <v>490</v>
      </c>
      <c r="D74" s="17" t="s">
        <v>500</v>
      </c>
      <c r="E74" s="17">
        <v>0</v>
      </c>
      <c r="F74" s="17">
        <v>71</v>
      </c>
      <c r="G74" s="17">
        <v>1</v>
      </c>
      <c r="H74" s="17">
        <f t="shared" si="9"/>
        <v>0</v>
      </c>
      <c r="I74" s="17">
        <f t="shared" si="10"/>
        <v>98.611111111111114</v>
      </c>
      <c r="J74" s="17">
        <f t="shared" si="11"/>
        <v>1.3888888888888888</v>
      </c>
      <c r="K74" s="17">
        <f t="shared" si="12"/>
        <v>72</v>
      </c>
    </row>
    <row r="75" spans="1:11">
      <c r="A75" s="17" t="s">
        <v>546</v>
      </c>
      <c r="B75" s="17"/>
      <c r="C75" s="17" t="s">
        <v>490</v>
      </c>
      <c r="D75" s="17" t="s">
        <v>500</v>
      </c>
      <c r="E75" s="17">
        <v>0</v>
      </c>
      <c r="F75" s="17">
        <v>74</v>
      </c>
      <c r="G75" s="17">
        <v>0</v>
      </c>
      <c r="H75" s="17">
        <f t="shared" si="9"/>
        <v>0</v>
      </c>
      <c r="I75" s="17">
        <f t="shared" si="10"/>
        <v>100</v>
      </c>
      <c r="J75" s="17">
        <f t="shared" si="11"/>
        <v>0</v>
      </c>
      <c r="K75" s="17">
        <f t="shared" si="12"/>
        <v>74</v>
      </c>
    </row>
    <row r="76" spans="1:11">
      <c r="A76" s="17" t="s">
        <v>2</v>
      </c>
      <c r="B76" s="17"/>
      <c r="C76" s="17" t="s">
        <v>490</v>
      </c>
      <c r="D76" s="17" t="s">
        <v>500</v>
      </c>
      <c r="E76" s="17">
        <v>1</v>
      </c>
      <c r="F76" s="17">
        <f>198-36</f>
        <v>162</v>
      </c>
      <c r="G76" s="17">
        <v>36</v>
      </c>
      <c r="H76" s="17">
        <f t="shared" si="9"/>
        <v>0.50251256281407031</v>
      </c>
      <c r="I76" s="17">
        <f t="shared" si="10"/>
        <v>81.4070351758794</v>
      </c>
      <c r="J76" s="17">
        <f t="shared" si="11"/>
        <v>18.090452261306535</v>
      </c>
      <c r="K76" s="17">
        <f t="shared" si="12"/>
        <v>199</v>
      </c>
    </row>
    <row r="77" spans="1:11">
      <c r="A77" s="16" t="s">
        <v>569</v>
      </c>
      <c r="C77" s="33"/>
      <c r="D77" s="33"/>
      <c r="G77" s="13" t="s">
        <v>22</v>
      </c>
      <c r="H77" s="20">
        <f>AVERAGE(H60:H76)</f>
        <v>2.9559562518474723E-2</v>
      </c>
      <c r="I77" s="20">
        <f t="shared" ref="I77:J77" si="13">AVERAGE(I60:I76)</f>
        <v>95.83858606264495</v>
      </c>
      <c r="J77" s="20">
        <f t="shared" si="13"/>
        <v>4.1318543748365828</v>
      </c>
      <c r="K77" s="14" t="s">
        <v>492</v>
      </c>
    </row>
    <row r="78" spans="1:11">
      <c r="C78" s="33"/>
      <c r="D78" s="33"/>
      <c r="G78" s="13" t="s">
        <v>570</v>
      </c>
      <c r="H78" s="29">
        <f>STDEV(H60:H76)</f>
        <v>0.12187719851072007</v>
      </c>
      <c r="I78" s="29">
        <f t="shared" ref="I78:J78" si="14">STDEV(I60:I76)</f>
        <v>5.0571887526303607</v>
      </c>
      <c r="J78" s="29">
        <f t="shared" si="14"/>
        <v>4.9682499613607982</v>
      </c>
      <c r="K78" s="25">
        <f>SUM(K60:K76)</f>
        <v>1575</v>
      </c>
    </row>
    <row r="79" spans="1:11">
      <c r="C79" s="33"/>
      <c r="D79" s="33"/>
      <c r="H79" s="30"/>
      <c r="I79" s="30"/>
      <c r="J79" s="30"/>
    </row>
    <row r="80" spans="1:11">
      <c r="A80" s="15" t="s">
        <v>547</v>
      </c>
      <c r="B80" s="15"/>
      <c r="C80" s="25" t="s">
        <v>735</v>
      </c>
      <c r="D80" s="25" t="s">
        <v>500</v>
      </c>
      <c r="E80" s="15">
        <v>0</v>
      </c>
      <c r="F80" s="15">
        <v>50</v>
      </c>
      <c r="G80" s="15">
        <v>0</v>
      </c>
      <c r="H80" s="15"/>
      <c r="I80" s="15"/>
      <c r="J80" s="15"/>
      <c r="K80" s="15"/>
    </row>
    <row r="81" spans="1:11">
      <c r="A81" s="15" t="s">
        <v>548</v>
      </c>
      <c r="B81" s="15"/>
      <c r="C81" s="25" t="s">
        <v>735</v>
      </c>
      <c r="D81" s="15" t="s">
        <v>500</v>
      </c>
      <c r="E81" s="15">
        <v>0</v>
      </c>
      <c r="F81" s="15">
        <v>58</v>
      </c>
      <c r="G81" s="15">
        <v>0</v>
      </c>
      <c r="H81" s="15"/>
      <c r="I81" s="15"/>
      <c r="J81" s="15"/>
      <c r="K81" s="15"/>
    </row>
    <row r="82" spans="1:11">
      <c r="A82" s="17" t="s">
        <v>549</v>
      </c>
      <c r="B82" s="34"/>
      <c r="C82" s="17" t="s">
        <v>735</v>
      </c>
      <c r="D82" s="34" t="s">
        <v>500</v>
      </c>
      <c r="E82" s="34">
        <f>SUM(E80:E81)</f>
        <v>0</v>
      </c>
      <c r="F82" s="34">
        <f t="shared" ref="F82:G82" si="15">SUM(F80:F81)</f>
        <v>108</v>
      </c>
      <c r="G82" s="34">
        <f t="shared" si="15"/>
        <v>0</v>
      </c>
      <c r="H82" s="34">
        <f>E82/K82*100</f>
        <v>0</v>
      </c>
      <c r="I82" s="34">
        <f>F82/K82*100</f>
        <v>100</v>
      </c>
      <c r="J82" s="34">
        <f>G82/K82*100</f>
        <v>0</v>
      </c>
      <c r="K82" s="34">
        <f>SUM(E82:G82)</f>
        <v>108</v>
      </c>
    </row>
    <row r="83" spans="1:11">
      <c r="A83" s="15" t="s">
        <v>550</v>
      </c>
      <c r="B83" s="15"/>
      <c r="C83" s="25" t="s">
        <v>735</v>
      </c>
      <c r="D83" s="25" t="s">
        <v>500</v>
      </c>
      <c r="E83" s="15">
        <v>0</v>
      </c>
      <c r="F83" s="15">
        <v>73</v>
      </c>
      <c r="G83" s="15">
        <v>0</v>
      </c>
      <c r="H83" s="15"/>
      <c r="I83" s="15"/>
      <c r="J83" s="15"/>
      <c r="K83" s="15"/>
    </row>
    <row r="84" spans="1:11">
      <c r="A84" s="15" t="s">
        <v>551</v>
      </c>
      <c r="B84" s="15"/>
      <c r="C84" s="25" t="s">
        <v>735</v>
      </c>
      <c r="D84" s="15" t="s">
        <v>500</v>
      </c>
      <c r="E84" s="15">
        <v>0</v>
      </c>
      <c r="F84" s="15">
        <v>80</v>
      </c>
      <c r="G84" s="15">
        <v>0</v>
      </c>
      <c r="H84" s="15"/>
      <c r="I84" s="15"/>
      <c r="J84" s="15"/>
      <c r="K84" s="15"/>
    </row>
    <row r="85" spans="1:11">
      <c r="A85" s="17" t="s">
        <v>552</v>
      </c>
      <c r="B85" s="34"/>
      <c r="C85" s="17" t="s">
        <v>735</v>
      </c>
      <c r="D85" s="34" t="s">
        <v>500</v>
      </c>
      <c r="E85" s="34">
        <f>SUM(E83:E84)</f>
        <v>0</v>
      </c>
      <c r="F85" s="34">
        <f t="shared" ref="F85:G85" si="16">SUM(F83:F84)</f>
        <v>153</v>
      </c>
      <c r="G85" s="34">
        <f t="shared" si="16"/>
        <v>0</v>
      </c>
      <c r="H85" s="34">
        <f>E85/K85*100</f>
        <v>0</v>
      </c>
      <c r="I85" s="34">
        <f>F85/K85*100</f>
        <v>100</v>
      </c>
      <c r="J85" s="34">
        <f>G85/K85*100</f>
        <v>0</v>
      </c>
      <c r="K85" s="34">
        <f>SUM(E85:G85)</f>
        <v>153</v>
      </c>
    </row>
    <row r="86" spans="1:11">
      <c r="A86" s="15" t="s">
        <v>553</v>
      </c>
      <c r="B86" s="15"/>
      <c r="C86" s="25" t="s">
        <v>735</v>
      </c>
      <c r="D86" s="25" t="s">
        <v>500</v>
      </c>
      <c r="E86" s="15">
        <v>0</v>
      </c>
      <c r="F86" s="15">
        <v>92</v>
      </c>
      <c r="G86" s="15">
        <v>0</v>
      </c>
      <c r="H86" s="15"/>
      <c r="I86" s="15"/>
      <c r="J86" s="15"/>
      <c r="K86" s="15"/>
    </row>
    <row r="87" spans="1:11">
      <c r="A87" s="15" t="s">
        <v>554</v>
      </c>
      <c r="B87" s="15"/>
      <c r="C87" s="25" t="s">
        <v>735</v>
      </c>
      <c r="D87" s="15" t="s">
        <v>500</v>
      </c>
      <c r="E87" s="15">
        <v>0</v>
      </c>
      <c r="F87" s="15">
        <v>60</v>
      </c>
      <c r="G87" s="15">
        <v>0</v>
      </c>
      <c r="H87" s="15"/>
      <c r="I87" s="15"/>
      <c r="J87" s="15"/>
      <c r="K87" s="15"/>
    </row>
    <row r="88" spans="1:11">
      <c r="A88" s="17" t="s">
        <v>555</v>
      </c>
      <c r="B88" s="34"/>
      <c r="C88" s="17" t="s">
        <v>735</v>
      </c>
      <c r="D88" s="34" t="s">
        <v>500</v>
      </c>
      <c r="E88" s="34">
        <f>SUM(E86:E87)</f>
        <v>0</v>
      </c>
      <c r="F88" s="34">
        <f t="shared" ref="F88:G88" si="17">SUM(F86:F87)</f>
        <v>152</v>
      </c>
      <c r="G88" s="34">
        <f t="shared" si="17"/>
        <v>0</v>
      </c>
      <c r="H88" s="34">
        <f>E88/K88*100</f>
        <v>0</v>
      </c>
      <c r="I88" s="34">
        <f>F88/K88*100</f>
        <v>100</v>
      </c>
      <c r="J88" s="34">
        <f>G88/K88*100</f>
        <v>0</v>
      </c>
      <c r="K88" s="34">
        <f>SUM(E88:G88)</f>
        <v>152</v>
      </c>
    </row>
    <row r="89" spans="1:11">
      <c r="A89" s="15" t="s">
        <v>556</v>
      </c>
      <c r="B89" s="15"/>
      <c r="C89" s="25" t="s">
        <v>735</v>
      </c>
      <c r="D89" s="25" t="s">
        <v>500</v>
      </c>
      <c r="E89" s="15">
        <v>0</v>
      </c>
      <c r="F89" s="15">
        <v>78</v>
      </c>
      <c r="G89" s="15">
        <v>0</v>
      </c>
      <c r="H89" s="15"/>
      <c r="I89" s="15"/>
      <c r="J89" s="15"/>
      <c r="K89" s="15"/>
    </row>
    <row r="90" spans="1:11">
      <c r="A90" s="15" t="s">
        <v>557</v>
      </c>
      <c r="B90" s="15"/>
      <c r="C90" s="25" t="s">
        <v>735</v>
      </c>
      <c r="D90" s="15" t="s">
        <v>500</v>
      </c>
      <c r="E90" s="15">
        <v>0</v>
      </c>
      <c r="F90" s="15">
        <v>67</v>
      </c>
      <c r="G90" s="15">
        <v>0</v>
      </c>
      <c r="H90" s="15"/>
      <c r="I90" s="15"/>
      <c r="J90" s="15"/>
      <c r="K90" s="15"/>
    </row>
    <row r="91" spans="1:11">
      <c r="A91" s="17" t="s">
        <v>558</v>
      </c>
      <c r="B91" s="34"/>
      <c r="C91" s="17" t="s">
        <v>735</v>
      </c>
      <c r="D91" s="34" t="s">
        <v>500</v>
      </c>
      <c r="E91" s="34">
        <f>SUM(E89:E90)</f>
        <v>0</v>
      </c>
      <c r="F91" s="34">
        <f t="shared" ref="F91:G91" si="18">SUM(F89:F90)</f>
        <v>145</v>
      </c>
      <c r="G91" s="34">
        <f t="shared" si="18"/>
        <v>0</v>
      </c>
      <c r="H91" s="34">
        <f>E91/K91*100</f>
        <v>0</v>
      </c>
      <c r="I91" s="34">
        <f>F91/K91*100</f>
        <v>100</v>
      </c>
      <c r="J91" s="34">
        <f>G91/K91*100</f>
        <v>0</v>
      </c>
      <c r="K91" s="34">
        <f>SUM(E91:G91)</f>
        <v>145</v>
      </c>
    </row>
    <row r="92" spans="1:11">
      <c r="A92" s="15" t="s">
        <v>559</v>
      </c>
      <c r="B92" s="15"/>
      <c r="C92" s="25" t="s">
        <v>735</v>
      </c>
      <c r="D92" s="25" t="s">
        <v>500</v>
      </c>
      <c r="E92" s="15">
        <v>0</v>
      </c>
      <c r="F92" s="15">
        <v>58</v>
      </c>
      <c r="G92" s="15">
        <v>0</v>
      </c>
      <c r="H92" s="15"/>
      <c r="I92" s="15"/>
      <c r="J92" s="15"/>
      <c r="K92" s="15"/>
    </row>
    <row r="93" spans="1:11">
      <c r="A93" s="15" t="s">
        <v>560</v>
      </c>
      <c r="B93" s="15"/>
      <c r="C93" s="25" t="s">
        <v>735</v>
      </c>
      <c r="D93" s="15" t="s">
        <v>500</v>
      </c>
      <c r="E93" s="15">
        <v>0</v>
      </c>
      <c r="F93" s="15">
        <v>37</v>
      </c>
      <c r="G93" s="15">
        <v>0</v>
      </c>
      <c r="H93" s="15"/>
      <c r="I93" s="15"/>
      <c r="J93" s="15"/>
      <c r="K93" s="15"/>
    </row>
    <row r="94" spans="1:11">
      <c r="A94" s="17" t="s">
        <v>561</v>
      </c>
      <c r="B94" s="34"/>
      <c r="C94" s="17" t="s">
        <v>735</v>
      </c>
      <c r="D94" s="34" t="s">
        <v>500</v>
      </c>
      <c r="E94" s="34">
        <f>SUM(E92:E93)</f>
        <v>0</v>
      </c>
      <c r="F94" s="34">
        <f t="shared" ref="F94:G94" si="19">SUM(F92:F93)</f>
        <v>95</v>
      </c>
      <c r="G94" s="34">
        <f t="shared" si="19"/>
        <v>0</v>
      </c>
      <c r="H94" s="34">
        <f>E94/K94*100</f>
        <v>0</v>
      </c>
      <c r="I94" s="34">
        <f>F94/K94*100</f>
        <v>100</v>
      </c>
      <c r="J94" s="34">
        <f>G94/K94*100</f>
        <v>0</v>
      </c>
      <c r="K94" s="34">
        <f>SUM(E94:G94)</f>
        <v>95</v>
      </c>
    </row>
    <row r="95" spans="1:11">
      <c r="A95" s="15" t="s">
        <v>562</v>
      </c>
      <c r="B95" s="15"/>
      <c r="C95" s="25" t="s">
        <v>735</v>
      </c>
      <c r="D95" s="25" t="s">
        <v>500</v>
      </c>
      <c r="E95" s="15">
        <v>0</v>
      </c>
      <c r="F95" s="15">
        <v>98</v>
      </c>
      <c r="G95" s="15">
        <v>0</v>
      </c>
      <c r="H95" s="15"/>
      <c r="I95" s="15"/>
      <c r="J95" s="15"/>
      <c r="K95" s="15"/>
    </row>
    <row r="96" spans="1:11">
      <c r="A96" s="15" t="s">
        <v>563</v>
      </c>
      <c r="B96" s="15"/>
      <c r="C96" s="25" t="s">
        <v>735</v>
      </c>
      <c r="D96" s="15" t="s">
        <v>500</v>
      </c>
      <c r="E96" s="15">
        <v>0</v>
      </c>
      <c r="F96" s="15">
        <v>65</v>
      </c>
      <c r="G96" s="15">
        <v>0</v>
      </c>
      <c r="H96" s="15"/>
      <c r="I96" s="15"/>
      <c r="J96" s="15"/>
      <c r="K96" s="15"/>
    </row>
    <row r="97" spans="1:11">
      <c r="A97" s="17" t="s">
        <v>564</v>
      </c>
      <c r="B97" s="34"/>
      <c r="C97" s="17" t="s">
        <v>735</v>
      </c>
      <c r="D97" s="34" t="s">
        <v>500</v>
      </c>
      <c r="E97" s="34">
        <f>SUM(E95:E96)</f>
        <v>0</v>
      </c>
      <c r="F97" s="34">
        <f t="shared" ref="F97:G97" si="20">SUM(F95:F96)</f>
        <v>163</v>
      </c>
      <c r="G97" s="34">
        <f t="shared" si="20"/>
        <v>0</v>
      </c>
      <c r="H97" s="34">
        <f>E97/K97*100</f>
        <v>0</v>
      </c>
      <c r="I97" s="34">
        <f>F97/K97*100</f>
        <v>100</v>
      </c>
      <c r="J97" s="34">
        <f>G97/K97*100</f>
        <v>0</v>
      </c>
      <c r="K97" s="34">
        <f>SUM(E97:G97)</f>
        <v>163</v>
      </c>
    </row>
    <row r="98" spans="1:11">
      <c r="A98" s="15" t="s">
        <v>565</v>
      </c>
      <c r="B98" s="15"/>
      <c r="C98" s="25" t="s">
        <v>735</v>
      </c>
      <c r="D98" s="25" t="s">
        <v>500</v>
      </c>
      <c r="E98" s="15">
        <v>0</v>
      </c>
      <c r="F98" s="15">
        <v>55</v>
      </c>
      <c r="G98" s="15">
        <v>1</v>
      </c>
      <c r="H98" s="15"/>
      <c r="I98" s="15"/>
      <c r="J98" s="15"/>
      <c r="K98" s="15"/>
    </row>
    <row r="99" spans="1:11">
      <c r="A99" s="15" t="s">
        <v>566</v>
      </c>
      <c r="B99" s="15"/>
      <c r="C99" s="25" t="s">
        <v>735</v>
      </c>
      <c r="D99" s="15" t="s">
        <v>500</v>
      </c>
      <c r="E99" s="15">
        <v>0</v>
      </c>
      <c r="F99" s="15">
        <v>49</v>
      </c>
      <c r="G99" s="15">
        <v>1</v>
      </c>
      <c r="H99" s="15"/>
      <c r="I99" s="15"/>
      <c r="J99" s="15"/>
      <c r="K99" s="15"/>
    </row>
    <row r="100" spans="1:11">
      <c r="A100" s="17" t="s">
        <v>567</v>
      </c>
      <c r="B100" s="34"/>
      <c r="C100" s="17" t="s">
        <v>735</v>
      </c>
      <c r="D100" s="34" t="s">
        <v>500</v>
      </c>
      <c r="E100" s="34">
        <f>SUM(E98:E99)</f>
        <v>0</v>
      </c>
      <c r="F100" s="34">
        <f t="shared" ref="F100:G100" si="21">SUM(F98:F99)</f>
        <v>104</v>
      </c>
      <c r="G100" s="34">
        <f t="shared" si="21"/>
        <v>2</v>
      </c>
      <c r="H100" s="34">
        <f>E100/K100*100</f>
        <v>0</v>
      </c>
      <c r="I100" s="34">
        <f>F100/K100*100</f>
        <v>98.113207547169807</v>
      </c>
      <c r="J100" s="34">
        <f>G100/K100*100</f>
        <v>1.8867924528301887</v>
      </c>
      <c r="K100" s="34">
        <f>SUM(E100:G100)</f>
        <v>106</v>
      </c>
    </row>
    <row r="101" spans="1:11">
      <c r="A101" s="16" t="s">
        <v>420</v>
      </c>
      <c r="C101" s="33"/>
      <c r="D101" s="33"/>
      <c r="G101" s="13" t="s">
        <v>22</v>
      </c>
      <c r="H101" s="20">
        <f t="shared" ref="H101:J101" si="22">AVERAGE(H100,H97,H94,H91,H88,H85,H82)</f>
        <v>0</v>
      </c>
      <c r="I101" s="20">
        <f t="shared" si="22"/>
        <v>99.730458221024264</v>
      </c>
      <c r="J101" s="20">
        <f t="shared" si="22"/>
        <v>0.26954177897574122</v>
      </c>
      <c r="K101" s="14" t="s">
        <v>492</v>
      </c>
    </row>
    <row r="102" spans="1:11">
      <c r="C102" s="33"/>
      <c r="D102" s="33"/>
      <c r="G102" s="13" t="s">
        <v>570</v>
      </c>
      <c r="H102" s="29">
        <f t="shared" ref="H102:J102" si="23">STDEV(H100,H97,H94,H91,H88,H85,H82)</f>
        <v>0</v>
      </c>
      <c r="I102" s="29">
        <f t="shared" si="23"/>
        <v>0.71314051511175092</v>
      </c>
      <c r="J102" s="29">
        <f t="shared" si="23"/>
        <v>0.71314051511174947</v>
      </c>
      <c r="K102" s="25">
        <f>SUM(K100,K97,K94,K91,K88,K85,K82)</f>
        <v>922</v>
      </c>
    </row>
    <row r="104" spans="1:11">
      <c r="B104" s="35"/>
      <c r="C104" s="35"/>
      <c r="D104" s="35"/>
    </row>
    <row r="105" spans="1:11">
      <c r="A105" s="15" t="s">
        <v>4</v>
      </c>
      <c r="B105" s="15"/>
      <c r="C105" s="15" t="s">
        <v>736</v>
      </c>
      <c r="D105" s="15" t="s">
        <v>500</v>
      </c>
      <c r="E105" s="15">
        <v>1</v>
      </c>
      <c r="F105" s="15">
        <v>7</v>
      </c>
      <c r="G105" s="15">
        <v>3</v>
      </c>
      <c r="H105" s="15"/>
      <c r="I105" s="15"/>
      <c r="J105" s="15"/>
      <c r="K105" s="15"/>
    </row>
    <row r="106" spans="1:11">
      <c r="A106" s="15" t="s">
        <v>5</v>
      </c>
      <c r="B106" s="15"/>
      <c r="C106" s="15" t="s">
        <v>736</v>
      </c>
      <c r="D106" s="15" t="s">
        <v>500</v>
      </c>
      <c r="E106" s="15">
        <v>0</v>
      </c>
      <c r="F106" s="15">
        <f>21-5</f>
        <v>16</v>
      </c>
      <c r="G106" s="15">
        <v>5</v>
      </c>
      <c r="H106" s="15"/>
      <c r="I106" s="15"/>
      <c r="J106" s="15"/>
      <c r="K106" s="15"/>
    </row>
    <row r="107" spans="1:11">
      <c r="A107" s="17" t="s">
        <v>6</v>
      </c>
      <c r="B107" s="17"/>
      <c r="C107" s="17" t="s">
        <v>736</v>
      </c>
      <c r="D107" s="17" t="s">
        <v>500</v>
      </c>
      <c r="E107" s="17">
        <f>SUM(E105:E106)</f>
        <v>1</v>
      </c>
      <c r="F107" s="17">
        <f>SUM(F105:F106)</f>
        <v>23</v>
      </c>
      <c r="G107" s="17">
        <f>SUM(G105:G106)</f>
        <v>8</v>
      </c>
      <c r="H107" s="17">
        <f>E107/SUM(E107:G107)*100</f>
        <v>3.125</v>
      </c>
      <c r="I107" s="17">
        <f>F107/SUM(E107:G107)*100</f>
        <v>71.875</v>
      </c>
      <c r="J107" s="17">
        <f>G107/SUM(E107:G107)*100</f>
        <v>25</v>
      </c>
      <c r="K107" s="17">
        <f>SUM(E107:G107)</f>
        <v>32</v>
      </c>
    </row>
    <row r="108" spans="1:11">
      <c r="A108" s="17" t="s">
        <v>7</v>
      </c>
      <c r="B108" s="17"/>
      <c r="C108" s="17" t="s">
        <v>736</v>
      </c>
      <c r="D108" s="17" t="s">
        <v>500</v>
      </c>
      <c r="E108" s="17">
        <v>0</v>
      </c>
      <c r="F108" s="17">
        <v>10</v>
      </c>
      <c r="G108" s="17">
        <v>5</v>
      </c>
      <c r="H108" s="17">
        <f>E108/SUM(E108:G108)*100</f>
        <v>0</v>
      </c>
      <c r="I108" s="17">
        <f>F108/SUM(E108:G108)*100</f>
        <v>66.666666666666657</v>
      </c>
      <c r="J108" s="17">
        <f>G108/SUM(E108:G108)*100</f>
        <v>33.333333333333329</v>
      </c>
      <c r="K108" s="17">
        <f>SUM(E108:G108)</f>
        <v>15</v>
      </c>
    </row>
    <row r="109" spans="1:11">
      <c r="A109" s="15" t="s">
        <v>8</v>
      </c>
      <c r="B109" s="15"/>
      <c r="C109" s="15" t="s">
        <v>736</v>
      </c>
      <c r="D109" s="15" t="s">
        <v>500</v>
      </c>
      <c r="E109" s="15">
        <v>0</v>
      </c>
      <c r="F109" s="15">
        <f>12-4</f>
        <v>8</v>
      </c>
      <c r="G109" s="15">
        <v>4</v>
      </c>
      <c r="H109" s="15"/>
      <c r="I109" s="15"/>
      <c r="J109" s="15"/>
      <c r="K109" s="15"/>
    </row>
    <row r="110" spans="1:11">
      <c r="A110" s="15" t="s">
        <v>9</v>
      </c>
      <c r="B110" s="15"/>
      <c r="C110" s="15" t="s">
        <v>736</v>
      </c>
      <c r="D110" s="15" t="s">
        <v>500</v>
      </c>
      <c r="E110" s="15">
        <v>0</v>
      </c>
      <c r="F110" s="15">
        <v>14</v>
      </c>
      <c r="G110" s="15">
        <v>3</v>
      </c>
      <c r="H110" s="15"/>
      <c r="I110" s="15"/>
      <c r="J110" s="15"/>
      <c r="K110" s="15"/>
    </row>
    <row r="111" spans="1:11">
      <c r="A111" s="15" t="s">
        <v>10</v>
      </c>
      <c r="B111" s="15"/>
      <c r="C111" s="15" t="s">
        <v>736</v>
      </c>
      <c r="D111" s="15" t="s">
        <v>500</v>
      </c>
      <c r="E111" s="15">
        <v>0</v>
      </c>
      <c r="F111" s="15">
        <v>21</v>
      </c>
      <c r="G111" s="15">
        <v>4</v>
      </c>
      <c r="H111" s="15"/>
      <c r="I111" s="15"/>
      <c r="J111" s="15"/>
      <c r="K111" s="15"/>
    </row>
    <row r="112" spans="1:11">
      <c r="A112" s="17" t="s">
        <v>11</v>
      </c>
      <c r="B112" s="17"/>
      <c r="C112" s="17" t="s">
        <v>736</v>
      </c>
      <c r="D112" s="17" t="s">
        <v>500</v>
      </c>
      <c r="E112" s="17">
        <f>SUM(E109:E111)</f>
        <v>0</v>
      </c>
      <c r="F112" s="17">
        <f>SUM(F109:F111)</f>
        <v>43</v>
      </c>
      <c r="G112" s="17">
        <f>SUM(G109:G111)</f>
        <v>11</v>
      </c>
      <c r="H112" s="17">
        <f>E112/SUM(E112:G112)*100</f>
        <v>0</v>
      </c>
      <c r="I112" s="17">
        <f>F112/SUM(E112:G112)*100</f>
        <v>79.629629629629633</v>
      </c>
      <c r="J112" s="17">
        <f>G112/SUM(E112:G112)*100</f>
        <v>20.37037037037037</v>
      </c>
      <c r="K112" s="17">
        <f>SUM(E112:G112)</f>
        <v>54</v>
      </c>
    </row>
    <row r="113" spans="1:11">
      <c r="A113" s="15" t="s">
        <v>12</v>
      </c>
      <c r="B113" s="15"/>
      <c r="C113" s="15" t="s">
        <v>736</v>
      </c>
      <c r="D113" s="15" t="s">
        <v>500</v>
      </c>
      <c r="E113" s="15">
        <v>0</v>
      </c>
      <c r="F113" s="15">
        <v>3</v>
      </c>
      <c r="G113" s="15">
        <v>2</v>
      </c>
      <c r="H113" s="15"/>
      <c r="I113" s="15"/>
      <c r="J113" s="15"/>
      <c r="K113" s="15"/>
    </row>
    <row r="114" spans="1:11">
      <c r="A114" s="15" t="s">
        <v>13</v>
      </c>
      <c r="B114" s="15"/>
      <c r="C114" s="15" t="s">
        <v>736</v>
      </c>
      <c r="D114" s="15" t="s">
        <v>500</v>
      </c>
      <c r="E114" s="15">
        <v>0</v>
      </c>
      <c r="F114" s="15">
        <v>12</v>
      </c>
      <c r="G114" s="15">
        <v>1</v>
      </c>
      <c r="H114" s="15"/>
      <c r="I114" s="15"/>
      <c r="J114" s="15"/>
      <c r="K114" s="15"/>
    </row>
    <row r="115" spans="1:11">
      <c r="A115" s="15" t="s">
        <v>14</v>
      </c>
      <c r="B115" s="15"/>
      <c r="C115" s="15" t="s">
        <v>736</v>
      </c>
      <c r="D115" s="15" t="s">
        <v>500</v>
      </c>
      <c r="E115" s="15">
        <v>0</v>
      </c>
      <c r="F115" s="15">
        <v>18</v>
      </c>
      <c r="G115" s="15">
        <v>1</v>
      </c>
      <c r="H115" s="15"/>
      <c r="I115" s="15"/>
      <c r="J115" s="15"/>
      <c r="K115" s="15"/>
    </row>
    <row r="116" spans="1:11">
      <c r="A116" s="17" t="s">
        <v>15</v>
      </c>
      <c r="B116" s="17"/>
      <c r="C116" s="17" t="s">
        <v>736</v>
      </c>
      <c r="D116" s="17" t="s">
        <v>500</v>
      </c>
      <c r="E116" s="17">
        <f>SUM(E113:E115)</f>
        <v>0</v>
      </c>
      <c r="F116" s="17">
        <f>SUM(F113:F115)</f>
        <v>33</v>
      </c>
      <c r="G116" s="17">
        <f>SUM(G113:G115)</f>
        <v>4</v>
      </c>
      <c r="H116" s="17">
        <f>E116/SUM(E116:G116)*100</f>
        <v>0</v>
      </c>
      <c r="I116" s="17">
        <f>F116/SUM(E116:G116)*100</f>
        <v>89.189189189189193</v>
      </c>
      <c r="J116" s="17">
        <f>G116/SUM(E116:G116)*100</f>
        <v>10.810810810810811</v>
      </c>
      <c r="K116" s="17">
        <f>SUM(E116:G116)</f>
        <v>37</v>
      </c>
    </row>
    <row r="117" spans="1:11">
      <c r="A117" s="15" t="s">
        <v>16</v>
      </c>
      <c r="B117" s="15"/>
      <c r="C117" s="15" t="s">
        <v>736</v>
      </c>
      <c r="D117" s="15" t="s">
        <v>500</v>
      </c>
      <c r="E117" s="15">
        <v>0</v>
      </c>
      <c r="F117" s="15">
        <v>14</v>
      </c>
      <c r="G117" s="15">
        <v>0</v>
      </c>
      <c r="H117" s="15"/>
      <c r="I117" s="15"/>
      <c r="J117" s="15"/>
      <c r="K117" s="15"/>
    </row>
    <row r="118" spans="1:11">
      <c r="A118" s="15" t="s">
        <v>17</v>
      </c>
      <c r="B118" s="15"/>
      <c r="C118" s="15" t="s">
        <v>736</v>
      </c>
      <c r="D118" s="15" t="s">
        <v>500</v>
      </c>
      <c r="E118" s="15">
        <v>0</v>
      </c>
      <c r="F118" s="15">
        <v>12</v>
      </c>
      <c r="G118" s="15">
        <v>1</v>
      </c>
      <c r="H118" s="15"/>
      <c r="I118" s="15"/>
      <c r="J118" s="15"/>
      <c r="K118" s="15"/>
    </row>
    <row r="119" spans="1:11">
      <c r="A119" s="17" t="s">
        <v>18</v>
      </c>
      <c r="B119" s="17"/>
      <c r="C119" s="17" t="s">
        <v>736</v>
      </c>
      <c r="D119" s="17" t="s">
        <v>500</v>
      </c>
      <c r="E119" s="17">
        <f>SUM(E117:E118)</f>
        <v>0</v>
      </c>
      <c r="F119" s="17">
        <f>SUM(F117:F118)</f>
        <v>26</v>
      </c>
      <c r="G119" s="17">
        <f>SUM(G117:G118)</f>
        <v>1</v>
      </c>
      <c r="H119" s="17">
        <f>E119/SUM(E119:G119)*100</f>
        <v>0</v>
      </c>
      <c r="I119" s="17">
        <f>F119/SUM(E119:G119)*100</f>
        <v>96.296296296296291</v>
      </c>
      <c r="J119" s="17">
        <f>G119/SUM(E119:G119)*100</f>
        <v>3.7037037037037033</v>
      </c>
      <c r="K119" s="17">
        <f>SUM(E119:G119)</f>
        <v>27</v>
      </c>
    </row>
    <row r="120" spans="1:11">
      <c r="A120" s="15" t="s">
        <v>19</v>
      </c>
      <c r="B120" s="15"/>
      <c r="C120" s="15" t="s">
        <v>736</v>
      </c>
      <c r="D120" s="15" t="s">
        <v>500</v>
      </c>
      <c r="E120" s="15">
        <v>0</v>
      </c>
      <c r="F120" s="15">
        <v>6</v>
      </c>
      <c r="G120" s="15">
        <v>1</v>
      </c>
      <c r="H120" s="15"/>
      <c r="I120" s="15"/>
      <c r="J120" s="15"/>
      <c r="K120" s="15"/>
    </row>
    <row r="121" spans="1:11">
      <c r="A121" s="15" t="s">
        <v>20</v>
      </c>
      <c r="B121" s="15"/>
      <c r="C121" s="15" t="s">
        <v>736</v>
      </c>
      <c r="D121" s="15" t="s">
        <v>500</v>
      </c>
      <c r="E121" s="15">
        <v>0</v>
      </c>
      <c r="F121" s="15">
        <v>9</v>
      </c>
      <c r="G121" s="15">
        <v>0</v>
      </c>
      <c r="H121" s="15"/>
      <c r="I121" s="15"/>
      <c r="J121" s="15"/>
      <c r="K121" s="15"/>
    </row>
    <row r="122" spans="1:11">
      <c r="A122" s="17" t="s">
        <v>21</v>
      </c>
      <c r="B122" s="17"/>
      <c r="C122" s="17" t="s">
        <v>736</v>
      </c>
      <c r="D122" s="17" t="s">
        <v>500</v>
      </c>
      <c r="E122" s="17">
        <f>SUM(E120:E121)</f>
        <v>0</v>
      </c>
      <c r="F122" s="17">
        <f>SUM(F120:F121)</f>
        <v>15</v>
      </c>
      <c r="G122" s="17">
        <f>SUM(G120:G121)</f>
        <v>1</v>
      </c>
      <c r="H122" s="17">
        <f>E122/SUM(E122:G122)*100</f>
        <v>0</v>
      </c>
      <c r="I122" s="17">
        <f>F122/SUM(E122:G122)*100</f>
        <v>93.75</v>
      </c>
      <c r="J122" s="17">
        <f>G122/SUM(E122:G122)*100</f>
        <v>6.25</v>
      </c>
      <c r="K122" s="17">
        <f>SUM(E122:G122)</f>
        <v>16</v>
      </c>
    </row>
    <row r="123" spans="1:11">
      <c r="A123" s="16" t="s">
        <v>23</v>
      </c>
      <c r="G123" s="13" t="s">
        <v>22</v>
      </c>
      <c r="H123" s="29">
        <f>AVERAGE(H107,H108,H112,H116,H119,H122)</f>
        <v>0.52083333333333337</v>
      </c>
      <c r="I123" s="29">
        <f>AVERAGE(I107,I108,I112,I116,I119,I122)</f>
        <v>82.901130296963629</v>
      </c>
      <c r="J123" s="29">
        <f>AVERAGE(J107,J108,J112,J116,J119,J122)</f>
        <v>16.578036369703035</v>
      </c>
      <c r="K123" s="21" t="s">
        <v>492</v>
      </c>
    </row>
    <row r="124" spans="1:11">
      <c r="G124" s="13" t="s">
        <v>570</v>
      </c>
      <c r="H124" s="29">
        <f>STDEV(H107,H108,H112,H116,H119,H122)</f>
        <v>1.2757759076995721</v>
      </c>
      <c r="I124" s="29">
        <f>STDEV(I107,I108,I112,I116,I119,I122)</f>
        <v>12.103753185856473</v>
      </c>
      <c r="J124" s="29">
        <f>STDEV(J107,J108,J112,J116,J119,J122)</f>
        <v>11.590762808357063</v>
      </c>
      <c r="K124" s="15">
        <f>SUM(K122,K119,K116,K112,K108,K107)</f>
        <v>181</v>
      </c>
    </row>
    <row r="125" spans="1:11">
      <c r="K125" s="30"/>
    </row>
    <row r="126" spans="1:11">
      <c r="G126" s="3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0710C-2744-AE45-AECB-CB76C92F01F8}">
  <dimension ref="A1:J249"/>
  <sheetViews>
    <sheetView zoomScale="63" workbookViewId="0">
      <pane ySplit="1" topLeftCell="A12" activePane="bottomLeft" state="frozen"/>
      <selection pane="bottomLeft" activeCell="A29" sqref="A29"/>
    </sheetView>
  </sheetViews>
  <sheetFormatPr baseColWidth="10" defaultRowHeight="16"/>
  <cols>
    <col min="1" max="1" width="67.33203125" style="18" bestFit="1" customWidth="1"/>
    <col min="2" max="2" width="18.5" style="18" bestFit="1" customWidth="1"/>
    <col min="3" max="3" width="29.83203125" style="18" bestFit="1" customWidth="1"/>
    <col min="4" max="5" width="25.83203125" style="18" bestFit="1" customWidth="1"/>
    <col min="6" max="6" width="20.5" style="18" bestFit="1" customWidth="1"/>
    <col min="7" max="8" width="21.33203125" style="18" bestFit="1" customWidth="1"/>
    <col min="9" max="9" width="15.33203125" style="18" bestFit="1" customWidth="1"/>
    <col min="10" max="10" width="19" style="18" bestFit="1" customWidth="1"/>
    <col min="11" max="16384" width="10.83203125" style="18"/>
  </cols>
  <sheetData>
    <row r="1" spans="1:10">
      <c r="A1" s="12" t="s">
        <v>0</v>
      </c>
      <c r="B1" s="37" t="s">
        <v>25</v>
      </c>
      <c r="C1" s="38" t="s">
        <v>26</v>
      </c>
      <c r="D1" s="12" t="s">
        <v>573</v>
      </c>
      <c r="E1" s="12" t="s">
        <v>574</v>
      </c>
      <c r="F1" s="12" t="s">
        <v>575</v>
      </c>
      <c r="G1" s="13" t="s">
        <v>576</v>
      </c>
      <c r="H1" s="13" t="s">
        <v>577</v>
      </c>
      <c r="I1" s="13" t="s">
        <v>578</v>
      </c>
      <c r="J1" s="39" t="s">
        <v>491</v>
      </c>
    </row>
    <row r="2" spans="1:10">
      <c r="A2" s="15" t="s">
        <v>272</v>
      </c>
      <c r="B2" s="15" t="s">
        <v>739</v>
      </c>
      <c r="C2" s="15" t="s">
        <v>876</v>
      </c>
      <c r="D2" s="15">
        <v>3</v>
      </c>
      <c r="E2" s="15">
        <v>34</v>
      </c>
      <c r="F2" s="15">
        <v>10</v>
      </c>
      <c r="G2" s="15"/>
      <c r="H2" s="15"/>
      <c r="I2" s="15"/>
      <c r="J2" s="15"/>
    </row>
    <row r="3" spans="1:10">
      <c r="A3" s="15" t="s">
        <v>273</v>
      </c>
      <c r="B3" s="15" t="s">
        <v>739</v>
      </c>
      <c r="C3" s="15" t="s">
        <v>876</v>
      </c>
      <c r="D3" s="15">
        <v>0</v>
      </c>
      <c r="E3" s="15">
        <v>23</v>
      </c>
      <c r="F3" s="15">
        <v>3</v>
      </c>
      <c r="G3" s="15"/>
      <c r="H3" s="15"/>
      <c r="I3" s="15"/>
      <c r="J3" s="15"/>
    </row>
    <row r="4" spans="1:10">
      <c r="A4" s="17" t="s">
        <v>274</v>
      </c>
      <c r="B4" s="17" t="s">
        <v>739</v>
      </c>
      <c r="C4" s="17" t="s">
        <v>876</v>
      </c>
      <c r="D4" s="17">
        <f>SUM(D2:D3)</f>
        <v>3</v>
      </c>
      <c r="E4" s="17">
        <f>SUM(E2:E3)</f>
        <v>57</v>
      </c>
      <c r="F4" s="17">
        <f>SUM(F2:F3)</f>
        <v>13</v>
      </c>
      <c r="G4" s="17">
        <f>D4/SUM(D4:F4)*100</f>
        <v>4.10958904109589</v>
      </c>
      <c r="H4" s="17">
        <f>E4/SUM(D4:F4)*100</f>
        <v>78.082191780821915</v>
      </c>
      <c r="I4" s="17">
        <f>F4/SUM(D4:F4)*100</f>
        <v>17.80821917808219</v>
      </c>
      <c r="J4" s="17">
        <f>SUM(D4:F4)</f>
        <v>73</v>
      </c>
    </row>
    <row r="5" spans="1:10">
      <c r="A5" s="15" t="s">
        <v>275</v>
      </c>
      <c r="B5" s="15" t="s">
        <v>739</v>
      </c>
      <c r="C5" s="15" t="s">
        <v>876</v>
      </c>
      <c r="D5" s="15">
        <v>1</v>
      </c>
      <c r="E5" s="15">
        <v>27</v>
      </c>
      <c r="F5" s="15">
        <v>3</v>
      </c>
      <c r="G5" s="15"/>
      <c r="H5" s="15"/>
      <c r="I5" s="15"/>
      <c r="J5" s="15"/>
    </row>
    <row r="6" spans="1:10">
      <c r="A6" s="15" t="s">
        <v>276</v>
      </c>
      <c r="B6" s="15" t="s">
        <v>739</v>
      </c>
      <c r="C6" s="15" t="s">
        <v>876</v>
      </c>
      <c r="D6" s="15">
        <v>0</v>
      </c>
      <c r="E6" s="15">
        <f>31-4</f>
        <v>27</v>
      </c>
      <c r="F6" s="15">
        <v>4</v>
      </c>
      <c r="G6" s="15"/>
      <c r="H6" s="15"/>
      <c r="I6" s="15"/>
      <c r="J6" s="15"/>
    </row>
    <row r="7" spans="1:10">
      <c r="A7" s="17" t="s">
        <v>277</v>
      </c>
      <c r="B7" s="17" t="s">
        <v>739</v>
      </c>
      <c r="C7" s="17" t="s">
        <v>876</v>
      </c>
      <c r="D7" s="17">
        <f>SUM(D5:D6)</f>
        <v>1</v>
      </c>
      <c r="E7" s="17">
        <f>SUM(E5:E6)</f>
        <v>54</v>
      </c>
      <c r="F7" s="17">
        <f>SUM(F5:F6)</f>
        <v>7</v>
      </c>
      <c r="G7" s="17">
        <f>D7/SUM(D7:F7)*100</f>
        <v>1.6129032258064515</v>
      </c>
      <c r="H7" s="17">
        <f>E7/SUM(D7:F7)*100</f>
        <v>87.096774193548384</v>
      </c>
      <c r="I7" s="17">
        <f>F7/SUM(D7:F7)*100</f>
        <v>11.29032258064516</v>
      </c>
      <c r="J7" s="17">
        <f>SUM(D7:F7)</f>
        <v>62</v>
      </c>
    </row>
    <row r="8" spans="1:10">
      <c r="A8" s="15" t="s">
        <v>278</v>
      </c>
      <c r="B8" s="15" t="s">
        <v>739</v>
      </c>
      <c r="C8" s="15" t="s">
        <v>876</v>
      </c>
      <c r="D8" s="15">
        <v>2</v>
      </c>
      <c r="E8" s="15">
        <f>31-3</f>
        <v>28</v>
      </c>
      <c r="F8" s="15">
        <v>3</v>
      </c>
      <c r="G8" s="15"/>
      <c r="H8" s="15"/>
      <c r="I8" s="15"/>
      <c r="J8" s="15"/>
    </row>
    <row r="9" spans="1:10">
      <c r="A9" s="15" t="s">
        <v>279</v>
      </c>
      <c r="B9" s="15" t="s">
        <v>739</v>
      </c>
      <c r="C9" s="15" t="s">
        <v>876</v>
      </c>
      <c r="D9" s="15">
        <v>0</v>
      </c>
      <c r="E9" s="15">
        <v>25</v>
      </c>
      <c r="F9" s="15">
        <v>4</v>
      </c>
      <c r="G9" s="15"/>
      <c r="H9" s="15"/>
      <c r="I9" s="15"/>
      <c r="J9" s="15"/>
    </row>
    <row r="10" spans="1:10">
      <c r="A10" s="17" t="s">
        <v>280</v>
      </c>
      <c r="B10" s="17" t="s">
        <v>739</v>
      </c>
      <c r="C10" s="17" t="s">
        <v>876</v>
      </c>
      <c r="D10" s="17">
        <f>SUM(D8:D9)</f>
        <v>2</v>
      </c>
      <c r="E10" s="17">
        <f>SUM(E8:E9)</f>
        <v>53</v>
      </c>
      <c r="F10" s="17">
        <f>SUM(F8:F9)</f>
        <v>7</v>
      </c>
      <c r="G10" s="17">
        <f>D10/SUM(D10:F10)*100</f>
        <v>3.225806451612903</v>
      </c>
      <c r="H10" s="17">
        <f>E10/SUM(D10:F10)*100</f>
        <v>85.483870967741936</v>
      </c>
      <c r="I10" s="17">
        <f>F10/SUM(D10:F10)*100</f>
        <v>11.29032258064516</v>
      </c>
      <c r="J10" s="17">
        <f>SUM(D10:F10)</f>
        <v>62</v>
      </c>
    </row>
    <row r="11" spans="1:10">
      <c r="A11" s="15" t="s">
        <v>281</v>
      </c>
      <c r="B11" s="15" t="s">
        <v>739</v>
      </c>
      <c r="C11" s="15" t="s">
        <v>876</v>
      </c>
      <c r="D11" s="15">
        <v>1</v>
      </c>
      <c r="E11" s="15">
        <v>33</v>
      </c>
      <c r="F11" s="15">
        <v>3</v>
      </c>
      <c r="G11" s="15"/>
      <c r="H11" s="15"/>
      <c r="I11" s="15"/>
      <c r="J11" s="15"/>
    </row>
    <row r="12" spans="1:10">
      <c r="A12" s="15" t="s">
        <v>282</v>
      </c>
      <c r="B12" s="15" t="s">
        <v>739</v>
      </c>
      <c r="C12" s="15" t="s">
        <v>876</v>
      </c>
      <c r="D12" s="15">
        <v>0</v>
      </c>
      <c r="E12" s="15">
        <v>22</v>
      </c>
      <c r="F12" s="15">
        <v>0</v>
      </c>
      <c r="G12" s="15"/>
      <c r="H12" s="15"/>
      <c r="I12" s="15"/>
      <c r="J12" s="15"/>
    </row>
    <row r="13" spans="1:10">
      <c r="A13" s="17" t="s">
        <v>283</v>
      </c>
      <c r="B13" s="17" t="s">
        <v>739</v>
      </c>
      <c r="C13" s="17" t="s">
        <v>876</v>
      </c>
      <c r="D13" s="17">
        <f>SUM(D11:D12)</f>
        <v>1</v>
      </c>
      <c r="E13" s="17">
        <f>SUM(E11:E12)</f>
        <v>55</v>
      </c>
      <c r="F13" s="17">
        <f>SUM(F11:F12)</f>
        <v>3</v>
      </c>
      <c r="G13" s="17">
        <f>D13/SUM(D13:F13)*100</f>
        <v>1.6949152542372881</v>
      </c>
      <c r="H13" s="17">
        <f>E13/SUM(D13:F13)*100</f>
        <v>93.220338983050837</v>
      </c>
      <c r="I13" s="17">
        <f>F13/SUM(D13:F13)*100</f>
        <v>5.0847457627118651</v>
      </c>
      <c r="J13" s="17">
        <f>SUM(D13:F13)</f>
        <v>59</v>
      </c>
    </row>
    <row r="14" spans="1:10">
      <c r="A14" s="15" t="s">
        <v>284</v>
      </c>
      <c r="B14" s="15" t="s">
        <v>739</v>
      </c>
      <c r="C14" s="15" t="s">
        <v>876</v>
      </c>
      <c r="D14" s="15">
        <v>0</v>
      </c>
      <c r="E14" s="15">
        <v>22</v>
      </c>
      <c r="F14" s="15">
        <v>5</v>
      </c>
      <c r="G14" s="15"/>
      <c r="H14" s="15"/>
      <c r="I14" s="15"/>
      <c r="J14" s="15"/>
    </row>
    <row r="15" spans="1:10">
      <c r="A15" s="15" t="s">
        <v>285</v>
      </c>
      <c r="B15" s="15" t="s">
        <v>739</v>
      </c>
      <c r="C15" s="15" t="s">
        <v>876</v>
      </c>
      <c r="D15" s="15">
        <v>1</v>
      </c>
      <c r="E15" s="15">
        <v>22</v>
      </c>
      <c r="F15" s="15">
        <v>5</v>
      </c>
      <c r="G15" s="15"/>
      <c r="H15" s="15"/>
      <c r="I15" s="15"/>
      <c r="J15" s="15"/>
    </row>
    <row r="16" spans="1:10">
      <c r="A16" s="17" t="s">
        <v>286</v>
      </c>
      <c r="B16" s="17" t="s">
        <v>739</v>
      </c>
      <c r="C16" s="17" t="s">
        <v>876</v>
      </c>
      <c r="D16" s="17">
        <f>SUM(D14:D15)</f>
        <v>1</v>
      </c>
      <c r="E16" s="17">
        <f>SUM(E14:E15)</f>
        <v>44</v>
      </c>
      <c r="F16" s="17">
        <f>SUM(F14:F15)</f>
        <v>10</v>
      </c>
      <c r="G16" s="17">
        <f>D16/SUM(D16:F16)*100</f>
        <v>1.8181818181818181</v>
      </c>
      <c r="H16" s="17">
        <f>E16/SUM(D16:F16)*100</f>
        <v>80</v>
      </c>
      <c r="I16" s="17">
        <f>F16/SUM(D16:F16)*100</f>
        <v>18.181818181818183</v>
      </c>
      <c r="J16" s="17">
        <f>SUM(D16:F16)</f>
        <v>55</v>
      </c>
    </row>
    <row r="17" spans="1:10">
      <c r="A17" s="15" t="s">
        <v>287</v>
      </c>
      <c r="B17" s="15" t="s">
        <v>739</v>
      </c>
      <c r="C17" s="15" t="s">
        <v>876</v>
      </c>
      <c r="D17" s="15">
        <v>1</v>
      </c>
      <c r="E17" s="15">
        <f>41-4</f>
        <v>37</v>
      </c>
      <c r="F17" s="15">
        <v>4</v>
      </c>
      <c r="G17" s="15"/>
      <c r="H17" s="15"/>
      <c r="I17" s="15"/>
      <c r="J17" s="15"/>
    </row>
    <row r="18" spans="1:10">
      <c r="A18" s="15" t="s">
        <v>288</v>
      </c>
      <c r="B18" s="15" t="s">
        <v>739</v>
      </c>
      <c r="C18" s="15" t="s">
        <v>876</v>
      </c>
      <c r="D18" s="15">
        <v>2</v>
      </c>
      <c r="E18" s="15">
        <v>17</v>
      </c>
      <c r="F18" s="15">
        <v>3</v>
      </c>
      <c r="G18" s="15"/>
      <c r="H18" s="15"/>
      <c r="I18" s="15"/>
      <c r="J18" s="15"/>
    </row>
    <row r="19" spans="1:10">
      <c r="A19" s="17" t="s">
        <v>289</v>
      </c>
      <c r="B19" s="17" t="s">
        <v>739</v>
      </c>
      <c r="C19" s="17" t="s">
        <v>876</v>
      </c>
      <c r="D19" s="17">
        <f>SUM(D17:D18)</f>
        <v>3</v>
      </c>
      <c r="E19" s="17">
        <f>SUM(E17:E18)</f>
        <v>54</v>
      </c>
      <c r="F19" s="17">
        <f>SUM(F17:F18)</f>
        <v>7</v>
      </c>
      <c r="G19" s="17">
        <f>D19/SUM(D19:F19)*100</f>
        <v>4.6875</v>
      </c>
      <c r="H19" s="17">
        <f>E19/SUM(D19:F19)*100</f>
        <v>84.375</v>
      </c>
      <c r="I19" s="17">
        <f>F19/SUM(D19:F19)*100</f>
        <v>10.9375</v>
      </c>
      <c r="J19" s="17">
        <f>SUM(D19:F19)</f>
        <v>64</v>
      </c>
    </row>
    <row r="20" spans="1:10">
      <c r="A20" s="15" t="s">
        <v>290</v>
      </c>
      <c r="B20" s="15" t="s">
        <v>739</v>
      </c>
      <c r="C20" s="15" t="s">
        <v>876</v>
      </c>
      <c r="D20" s="15">
        <v>0</v>
      </c>
      <c r="E20" s="15">
        <v>42</v>
      </c>
      <c r="F20" s="15">
        <v>2</v>
      </c>
      <c r="G20" s="15"/>
      <c r="H20" s="15"/>
      <c r="I20" s="15"/>
      <c r="J20" s="15"/>
    </row>
    <row r="21" spans="1:10">
      <c r="A21" s="15" t="s">
        <v>291</v>
      </c>
      <c r="B21" s="15" t="s">
        <v>739</v>
      </c>
      <c r="C21" s="15" t="s">
        <v>876</v>
      </c>
      <c r="D21" s="15">
        <v>0</v>
      </c>
      <c r="E21" s="15">
        <v>31</v>
      </c>
      <c r="F21" s="15">
        <v>1</v>
      </c>
      <c r="G21" s="15"/>
      <c r="H21" s="15"/>
      <c r="I21" s="15"/>
      <c r="J21" s="15"/>
    </row>
    <row r="22" spans="1:10">
      <c r="A22" s="17" t="s">
        <v>292</v>
      </c>
      <c r="B22" s="17" t="s">
        <v>739</v>
      </c>
      <c r="C22" s="17" t="s">
        <v>876</v>
      </c>
      <c r="D22" s="17">
        <f>SUM(D20:D21)</f>
        <v>0</v>
      </c>
      <c r="E22" s="17">
        <f>SUM(E20:E21)</f>
        <v>73</v>
      </c>
      <c r="F22" s="17">
        <f>SUM(F20:F21)</f>
        <v>3</v>
      </c>
      <c r="G22" s="17">
        <f>D22/SUM(D22:F22)*100</f>
        <v>0</v>
      </c>
      <c r="H22" s="17">
        <f>E22/SUM(D22:F22)*100</f>
        <v>96.05263157894737</v>
      </c>
      <c r="I22" s="17">
        <f>F22/SUM(D22:F22)*100</f>
        <v>3.9473684210526314</v>
      </c>
      <c r="J22" s="17">
        <f>SUM(D22:F22)</f>
        <v>76</v>
      </c>
    </row>
    <row r="23" spans="1:10">
      <c r="A23" s="15" t="s">
        <v>293</v>
      </c>
      <c r="B23" s="15" t="s">
        <v>739</v>
      </c>
      <c r="C23" s="15" t="s">
        <v>876</v>
      </c>
      <c r="D23" s="15">
        <v>6</v>
      </c>
      <c r="E23" s="15">
        <v>11</v>
      </c>
      <c r="F23" s="15">
        <v>6</v>
      </c>
      <c r="G23" s="15"/>
      <c r="H23" s="15"/>
      <c r="I23" s="15"/>
      <c r="J23" s="15"/>
    </row>
    <row r="24" spans="1:10">
      <c r="A24" s="15" t="s">
        <v>294</v>
      </c>
      <c r="B24" s="15" t="s">
        <v>739</v>
      </c>
      <c r="C24" s="15" t="s">
        <v>876</v>
      </c>
      <c r="D24" s="15">
        <v>1</v>
      </c>
      <c r="E24" s="15">
        <v>20</v>
      </c>
      <c r="F24" s="15">
        <v>7</v>
      </c>
      <c r="G24" s="15"/>
      <c r="H24" s="15"/>
      <c r="I24" s="15"/>
      <c r="J24" s="15"/>
    </row>
    <row r="25" spans="1:10">
      <c r="A25" s="17" t="s">
        <v>295</v>
      </c>
      <c r="B25" s="17" t="s">
        <v>739</v>
      </c>
      <c r="C25" s="17" t="s">
        <v>876</v>
      </c>
      <c r="D25" s="17">
        <f>SUM(D23:D24)</f>
        <v>7</v>
      </c>
      <c r="E25" s="17">
        <f>SUM(E23:E24)</f>
        <v>31</v>
      </c>
      <c r="F25" s="17">
        <f>SUM(F23:F24)</f>
        <v>13</v>
      </c>
      <c r="G25" s="17">
        <f>D25/SUM(D25:F25)*100</f>
        <v>13.725490196078432</v>
      </c>
      <c r="H25" s="17">
        <f>E25/SUM(D25:F25)*100</f>
        <v>60.784313725490193</v>
      </c>
      <c r="I25" s="17">
        <f>F25/SUM(D25:F25)*100</f>
        <v>25.490196078431371</v>
      </c>
      <c r="J25" s="17">
        <f>SUM(D25:F25)</f>
        <v>51</v>
      </c>
    </row>
    <row r="26" spans="1:10">
      <c r="A26" s="15" t="s">
        <v>296</v>
      </c>
      <c r="B26" s="15" t="s">
        <v>739</v>
      </c>
      <c r="C26" s="15" t="s">
        <v>876</v>
      </c>
      <c r="D26" s="15">
        <v>1</v>
      </c>
      <c r="E26" s="15">
        <f>42-15</f>
        <v>27</v>
      </c>
      <c r="F26" s="15">
        <v>15</v>
      </c>
      <c r="G26" s="15"/>
      <c r="H26" s="15"/>
      <c r="I26" s="15"/>
      <c r="J26" s="15"/>
    </row>
    <row r="27" spans="1:10">
      <c r="A27" s="15" t="s">
        <v>297</v>
      </c>
      <c r="B27" s="15" t="s">
        <v>739</v>
      </c>
      <c r="C27" s="15" t="s">
        <v>876</v>
      </c>
      <c r="D27" s="15">
        <v>1</v>
      </c>
      <c r="E27" s="15">
        <f>33-5</f>
        <v>28</v>
      </c>
      <c r="F27" s="15">
        <v>5</v>
      </c>
      <c r="G27" s="15"/>
      <c r="H27" s="15"/>
      <c r="I27" s="15"/>
      <c r="J27" s="15"/>
    </row>
    <row r="28" spans="1:10">
      <c r="A28" s="17" t="s">
        <v>298</v>
      </c>
      <c r="B28" s="17" t="s">
        <v>739</v>
      </c>
      <c r="C28" s="17" t="s">
        <v>876</v>
      </c>
      <c r="D28" s="17">
        <f>SUM(D26:D27)</f>
        <v>2</v>
      </c>
      <c r="E28" s="17">
        <f>SUM(E26:E27)</f>
        <v>55</v>
      </c>
      <c r="F28" s="17">
        <f>SUM(F26:F27)</f>
        <v>20</v>
      </c>
      <c r="G28" s="17">
        <f>D28/SUM(D28:F28)*100</f>
        <v>2.5974025974025974</v>
      </c>
      <c r="H28" s="17">
        <f>E28/SUM(D28:F28)*100</f>
        <v>71.428571428571431</v>
      </c>
      <c r="I28" s="17">
        <f>F28/SUM(D28:F28)*100</f>
        <v>25.97402597402597</v>
      </c>
      <c r="J28" s="17">
        <f>SUM(D28:F28)</f>
        <v>77</v>
      </c>
    </row>
    <row r="29" spans="1:10">
      <c r="A29" s="16" t="s">
        <v>299</v>
      </c>
      <c r="F29" s="19" t="s">
        <v>22</v>
      </c>
      <c r="G29" s="20">
        <f>AVERAGE(G4,G7,G10,G13,G16,G19,G22,G25,G28)</f>
        <v>3.7190876204905976</v>
      </c>
      <c r="H29" s="20">
        <f>AVERAGE(H4,H7,H10,H13,H16,H19,H22,H25,H28)</f>
        <v>81.835965850908011</v>
      </c>
      <c r="I29" s="20">
        <f>AVERAGE(I4,I7,I10,I13,I16,I19,I22,I25,I28)</f>
        <v>14.444946528601394</v>
      </c>
      <c r="J29" s="21" t="s">
        <v>492</v>
      </c>
    </row>
    <row r="30" spans="1:10">
      <c r="F30" s="13" t="s">
        <v>570</v>
      </c>
      <c r="G30" s="29">
        <f>STDEV(G4,G7,G10,G13,G16,G19,G22,G25,G28)</f>
        <v>4.01089535008167</v>
      </c>
      <c r="H30" s="29">
        <f>STDEV(H4,H7,H10,H13,H16,H19,H22,H25,H28)</f>
        <v>10.886316255114638</v>
      </c>
      <c r="I30" s="29">
        <f>STDEV(I4,I7,I10,I13,I16,I19,I22,I25,I28)</f>
        <v>7.9860113112176725</v>
      </c>
      <c r="J30" s="15">
        <f>SUM(J4,J7,J10,J13,J16,J19,J22,J25,J28)</f>
        <v>579</v>
      </c>
    </row>
    <row r="35" spans="1:10">
      <c r="A35" s="15" t="s">
        <v>300</v>
      </c>
      <c r="B35" s="15" t="s">
        <v>3</v>
      </c>
      <c r="C35" s="15" t="s">
        <v>876</v>
      </c>
      <c r="D35" s="15">
        <v>1</v>
      </c>
      <c r="E35" s="15">
        <f>45-14</f>
        <v>31</v>
      </c>
      <c r="F35" s="15">
        <v>14</v>
      </c>
      <c r="G35" s="15"/>
      <c r="H35" s="15"/>
      <c r="I35" s="15"/>
      <c r="J35" s="15"/>
    </row>
    <row r="36" spans="1:10">
      <c r="A36" s="15" t="s">
        <v>301</v>
      </c>
      <c r="B36" s="15" t="s">
        <v>3</v>
      </c>
      <c r="C36" s="15" t="s">
        <v>876</v>
      </c>
      <c r="D36" s="15">
        <v>1</v>
      </c>
      <c r="E36" s="15">
        <v>26</v>
      </c>
      <c r="F36" s="15">
        <v>3</v>
      </c>
      <c r="G36" s="15"/>
      <c r="H36" s="15"/>
      <c r="I36" s="15"/>
      <c r="J36" s="15"/>
    </row>
    <row r="37" spans="1:10">
      <c r="A37" s="17" t="s">
        <v>302</v>
      </c>
      <c r="B37" s="17" t="s">
        <v>3</v>
      </c>
      <c r="C37" s="17" t="s">
        <v>876</v>
      </c>
      <c r="D37" s="17">
        <f>SUM(D35:D36)</f>
        <v>2</v>
      </c>
      <c r="E37" s="17">
        <f>SUM(E35:E36)</f>
        <v>57</v>
      </c>
      <c r="F37" s="17">
        <f>SUM(F35:F36)</f>
        <v>17</v>
      </c>
      <c r="G37" s="17">
        <f>D37/SUM(D37:F37)*100</f>
        <v>2.6315789473684208</v>
      </c>
      <c r="H37" s="17">
        <f>E37/SUM(D37:F37)*100</f>
        <v>75</v>
      </c>
      <c r="I37" s="17">
        <f>F37/SUM(D37:F37)*100</f>
        <v>22.368421052631579</v>
      </c>
      <c r="J37" s="17">
        <f>SUM(D37:F37)</f>
        <v>76</v>
      </c>
    </row>
    <row r="38" spans="1:10">
      <c r="A38" s="15" t="s">
        <v>303</v>
      </c>
      <c r="B38" s="15" t="s">
        <v>3</v>
      </c>
      <c r="C38" s="15" t="s">
        <v>876</v>
      </c>
      <c r="D38" s="15">
        <v>3</v>
      </c>
      <c r="E38" s="15">
        <v>34</v>
      </c>
      <c r="F38" s="15">
        <v>6</v>
      </c>
      <c r="G38" s="15"/>
      <c r="H38" s="15"/>
      <c r="I38" s="15"/>
      <c r="J38" s="15"/>
    </row>
    <row r="39" spans="1:10">
      <c r="A39" s="15" t="s">
        <v>304</v>
      </c>
      <c r="B39" s="15" t="s">
        <v>3</v>
      </c>
      <c r="C39" s="15" t="s">
        <v>876</v>
      </c>
      <c r="D39" s="15">
        <v>2</v>
      </c>
      <c r="E39" s="15">
        <f>47-11</f>
        <v>36</v>
      </c>
      <c r="F39" s="15">
        <v>11</v>
      </c>
      <c r="G39" s="15"/>
      <c r="H39" s="15"/>
      <c r="I39" s="15"/>
      <c r="J39" s="15"/>
    </row>
    <row r="40" spans="1:10">
      <c r="A40" s="17" t="s">
        <v>305</v>
      </c>
      <c r="B40" s="17" t="s">
        <v>3</v>
      </c>
      <c r="C40" s="17" t="s">
        <v>876</v>
      </c>
      <c r="D40" s="17">
        <f>SUM(D38:D39)</f>
        <v>5</v>
      </c>
      <c r="E40" s="17">
        <f>SUM(E38:E39)</f>
        <v>70</v>
      </c>
      <c r="F40" s="17">
        <f>SUM(F38:F39)</f>
        <v>17</v>
      </c>
      <c r="G40" s="17">
        <f>D40/SUM(D40:F40)*100</f>
        <v>5.4347826086956523</v>
      </c>
      <c r="H40" s="17">
        <f>E40/SUM(D40:F40)*100</f>
        <v>76.08695652173914</v>
      </c>
      <c r="I40" s="17">
        <f>F40/SUM(D40:F40)*100</f>
        <v>18.478260869565215</v>
      </c>
      <c r="J40" s="17">
        <f>SUM(D40:F40)</f>
        <v>92</v>
      </c>
    </row>
    <row r="41" spans="1:10">
      <c r="A41" s="15" t="s">
        <v>306</v>
      </c>
      <c r="B41" s="15" t="s">
        <v>3</v>
      </c>
      <c r="C41" s="15" t="s">
        <v>876</v>
      </c>
      <c r="D41" s="15">
        <v>2</v>
      </c>
      <c r="E41" s="15">
        <v>25</v>
      </c>
      <c r="F41" s="15">
        <v>20</v>
      </c>
      <c r="G41" s="15"/>
      <c r="H41" s="15"/>
      <c r="I41" s="15"/>
      <c r="J41" s="15"/>
    </row>
    <row r="42" spans="1:10">
      <c r="A42" s="15" t="s">
        <v>307</v>
      </c>
      <c r="B42" s="15" t="s">
        <v>3</v>
      </c>
      <c r="C42" s="15" t="s">
        <v>876</v>
      </c>
      <c r="D42" s="15">
        <v>0</v>
      </c>
      <c r="E42" s="15">
        <f>38-11</f>
        <v>27</v>
      </c>
      <c r="F42" s="15">
        <v>11</v>
      </c>
      <c r="G42" s="15"/>
      <c r="H42" s="15"/>
      <c r="I42" s="15"/>
      <c r="J42" s="15"/>
    </row>
    <row r="43" spans="1:10">
      <c r="A43" s="17" t="s">
        <v>308</v>
      </c>
      <c r="B43" s="17" t="s">
        <v>3</v>
      </c>
      <c r="C43" s="17" t="s">
        <v>876</v>
      </c>
      <c r="D43" s="17">
        <f>SUM(D41:D42)</f>
        <v>2</v>
      </c>
      <c r="E43" s="17">
        <f>SUM(E41:E42)</f>
        <v>52</v>
      </c>
      <c r="F43" s="17">
        <f>SUM(F41:F42)</f>
        <v>31</v>
      </c>
      <c r="G43" s="17">
        <f>D43/SUM(D43:F43)*100</f>
        <v>2.3529411764705883</v>
      </c>
      <c r="H43" s="17">
        <f>E43/SUM(D43:F43)*100</f>
        <v>61.176470588235297</v>
      </c>
      <c r="I43" s="17">
        <f>F43/SUM(D43:F43)*100</f>
        <v>36.470588235294116</v>
      </c>
      <c r="J43" s="17">
        <f>SUM(D43:F43)</f>
        <v>85</v>
      </c>
    </row>
    <row r="44" spans="1:10">
      <c r="A44" s="15" t="s">
        <v>309</v>
      </c>
      <c r="B44" s="15" t="s">
        <v>3</v>
      </c>
      <c r="C44" s="15" t="s">
        <v>876</v>
      </c>
      <c r="D44" s="15">
        <v>4</v>
      </c>
      <c r="E44" s="15">
        <v>33</v>
      </c>
      <c r="F44" s="15">
        <v>4</v>
      </c>
      <c r="G44" s="15"/>
      <c r="H44" s="15"/>
      <c r="I44" s="15"/>
      <c r="J44" s="15"/>
    </row>
    <row r="45" spans="1:10">
      <c r="A45" s="15" t="s">
        <v>310</v>
      </c>
      <c r="B45" s="15" t="s">
        <v>3</v>
      </c>
      <c r="C45" s="15" t="s">
        <v>876</v>
      </c>
      <c r="D45" s="15">
        <v>4</v>
      </c>
      <c r="E45" s="15">
        <f>42-12</f>
        <v>30</v>
      </c>
      <c r="F45" s="15">
        <v>12</v>
      </c>
      <c r="G45" s="15"/>
      <c r="H45" s="15"/>
      <c r="I45" s="15"/>
      <c r="J45" s="15"/>
    </row>
    <row r="46" spans="1:10">
      <c r="A46" s="17" t="s">
        <v>311</v>
      </c>
      <c r="B46" s="17" t="s">
        <v>3</v>
      </c>
      <c r="C46" s="17" t="s">
        <v>876</v>
      </c>
      <c r="D46" s="17">
        <f>SUM(D44:D45)</f>
        <v>8</v>
      </c>
      <c r="E46" s="17">
        <f>SUM(E44:E45)</f>
        <v>63</v>
      </c>
      <c r="F46" s="17">
        <f>SUM(F44:F45)</f>
        <v>16</v>
      </c>
      <c r="G46" s="17">
        <f>D46/SUM(D46:F46)*100</f>
        <v>9.1954022988505741</v>
      </c>
      <c r="H46" s="17">
        <f>E46/SUM(D46:F46)*100</f>
        <v>72.41379310344827</v>
      </c>
      <c r="I46" s="17">
        <f>F46/SUM(D46:F46)*100</f>
        <v>18.390804597701148</v>
      </c>
      <c r="J46" s="17">
        <f>SUM(D46:F46)</f>
        <v>87</v>
      </c>
    </row>
    <row r="47" spans="1:10">
      <c r="A47" s="15" t="s">
        <v>312</v>
      </c>
      <c r="B47" s="15" t="s">
        <v>3</v>
      </c>
      <c r="C47" s="15" t="s">
        <v>876</v>
      </c>
      <c r="D47" s="15">
        <v>1</v>
      </c>
      <c r="E47" s="15">
        <f>47-11</f>
        <v>36</v>
      </c>
      <c r="F47" s="15">
        <v>11</v>
      </c>
      <c r="G47" s="15"/>
      <c r="H47" s="15"/>
      <c r="I47" s="15"/>
      <c r="J47" s="15"/>
    </row>
    <row r="48" spans="1:10">
      <c r="A48" s="15" t="s">
        <v>313</v>
      </c>
      <c r="B48" s="15" t="s">
        <v>3</v>
      </c>
      <c r="C48" s="15" t="s">
        <v>876</v>
      </c>
      <c r="D48" s="15">
        <v>0</v>
      </c>
      <c r="E48" s="15">
        <v>25</v>
      </c>
      <c r="F48" s="15">
        <v>3</v>
      </c>
      <c r="G48" s="15"/>
      <c r="H48" s="15"/>
      <c r="I48" s="15"/>
      <c r="J48" s="15"/>
    </row>
    <row r="49" spans="1:10">
      <c r="A49" s="17" t="s">
        <v>314</v>
      </c>
      <c r="B49" s="17" t="s">
        <v>3</v>
      </c>
      <c r="C49" s="17" t="s">
        <v>876</v>
      </c>
      <c r="D49" s="17">
        <f>SUM(D47:D48)</f>
        <v>1</v>
      </c>
      <c r="E49" s="17">
        <f>SUM(E47:E48)</f>
        <v>61</v>
      </c>
      <c r="F49" s="17">
        <f>SUM(F47:F48)</f>
        <v>14</v>
      </c>
      <c r="G49" s="17">
        <f>D49/SUM(D49:F49)*100</f>
        <v>1.3157894736842104</v>
      </c>
      <c r="H49" s="17">
        <f>E49/SUM(D49:F49)*100</f>
        <v>80.26315789473685</v>
      </c>
      <c r="I49" s="17">
        <f>F49/SUM(D49:F49)*100</f>
        <v>18.421052631578945</v>
      </c>
      <c r="J49" s="17">
        <f>SUM(D49:F49)</f>
        <v>76</v>
      </c>
    </row>
    <row r="50" spans="1:10">
      <c r="A50" s="15" t="s">
        <v>315</v>
      </c>
      <c r="B50" s="15" t="s">
        <v>3</v>
      </c>
      <c r="C50" s="15" t="s">
        <v>876</v>
      </c>
      <c r="D50" s="15">
        <v>0</v>
      </c>
      <c r="E50" s="15">
        <f>47-18</f>
        <v>29</v>
      </c>
      <c r="F50" s="15">
        <v>18</v>
      </c>
      <c r="G50" s="15"/>
      <c r="H50" s="15"/>
      <c r="I50" s="15"/>
      <c r="J50" s="15"/>
    </row>
    <row r="51" spans="1:10">
      <c r="A51" s="15" t="s">
        <v>316</v>
      </c>
      <c r="B51" s="15" t="s">
        <v>3</v>
      </c>
      <c r="C51" s="15" t="s">
        <v>876</v>
      </c>
      <c r="D51" s="15">
        <v>3</v>
      </c>
      <c r="E51" s="15">
        <f>38-11</f>
        <v>27</v>
      </c>
      <c r="F51" s="15">
        <v>11</v>
      </c>
      <c r="G51" s="15"/>
      <c r="H51" s="15"/>
      <c r="I51" s="15"/>
      <c r="J51" s="15"/>
    </row>
    <row r="52" spans="1:10">
      <c r="A52" s="17" t="s">
        <v>317</v>
      </c>
      <c r="B52" s="17" t="s">
        <v>3</v>
      </c>
      <c r="C52" s="17" t="s">
        <v>876</v>
      </c>
      <c r="D52" s="17">
        <f>SUM(D50:D51)</f>
        <v>3</v>
      </c>
      <c r="E52" s="17">
        <f>SUM(E50:E51)</f>
        <v>56</v>
      </c>
      <c r="F52" s="17">
        <f>SUM(F50:F51)</f>
        <v>29</v>
      </c>
      <c r="G52" s="17">
        <f>D52/SUM(D52:F52)*100</f>
        <v>3.4090909090909087</v>
      </c>
      <c r="H52" s="17">
        <f>E52/SUM(D52:F52)*100</f>
        <v>63.636363636363633</v>
      </c>
      <c r="I52" s="17">
        <f>F52/SUM(D52:F52)*100</f>
        <v>32.954545454545453</v>
      </c>
      <c r="J52" s="17">
        <f>SUM(D52:F52)</f>
        <v>88</v>
      </c>
    </row>
    <row r="53" spans="1:10">
      <c r="A53" s="16" t="s">
        <v>23</v>
      </c>
      <c r="F53" s="19" t="s">
        <v>22</v>
      </c>
      <c r="G53" s="20">
        <f>AVERAGE(G37,G40,G43,G46,G49,G52)</f>
        <v>4.0565975690267253</v>
      </c>
      <c r="H53" s="20">
        <f>AVERAGE(H37,H40,H43,H46,H49,H52)</f>
        <v>71.429456957420527</v>
      </c>
      <c r="I53" s="20">
        <f>AVERAGE(I37,I40,I43,I46,I49,I52)</f>
        <v>24.513945473552742</v>
      </c>
      <c r="J53" s="21" t="s">
        <v>492</v>
      </c>
    </row>
    <row r="54" spans="1:10">
      <c r="F54" s="13" t="s">
        <v>570</v>
      </c>
      <c r="G54" s="29">
        <f>STDEV(G37,G40,G43,G46,G49,G52)</f>
        <v>2.8695339384978129</v>
      </c>
      <c r="H54" s="29">
        <f>STDEV(H37,H40,H43,H46,H49,H52)</f>
        <v>7.4739588265692296</v>
      </c>
      <c r="I54" s="29">
        <f>STDEV(I37,I40,I43,I46,I49,I52)</f>
        <v>8.1222410111978096</v>
      </c>
      <c r="J54" s="15">
        <f>SUM(J37,J40,J43,J46,J49,J52)</f>
        <v>504</v>
      </c>
    </row>
    <row r="58" spans="1:10">
      <c r="A58" s="15" t="s">
        <v>371</v>
      </c>
      <c r="B58" s="15" t="s">
        <v>739</v>
      </c>
      <c r="C58" s="15" t="s">
        <v>875</v>
      </c>
      <c r="D58" s="15">
        <v>2</v>
      </c>
      <c r="E58" s="15">
        <f>56-47</f>
        <v>9</v>
      </c>
      <c r="F58" s="15">
        <v>47</v>
      </c>
      <c r="G58" s="15"/>
      <c r="H58" s="15"/>
      <c r="I58" s="15"/>
      <c r="J58" s="15"/>
    </row>
    <row r="59" spans="1:10">
      <c r="A59" s="15" t="s">
        <v>371</v>
      </c>
      <c r="B59" s="15" t="s">
        <v>739</v>
      </c>
      <c r="C59" s="15" t="s">
        <v>875</v>
      </c>
      <c r="D59" s="15">
        <v>0</v>
      </c>
      <c r="E59" s="15">
        <f>71-25</f>
        <v>46</v>
      </c>
      <c r="F59" s="15">
        <v>25</v>
      </c>
      <c r="G59" s="15"/>
      <c r="H59" s="15"/>
      <c r="I59" s="15"/>
      <c r="J59" s="15"/>
    </row>
    <row r="60" spans="1:10">
      <c r="A60" s="17" t="s">
        <v>372</v>
      </c>
      <c r="B60" s="17" t="s">
        <v>739</v>
      </c>
      <c r="C60" s="17" t="s">
        <v>875</v>
      </c>
      <c r="D60" s="17">
        <f>SUM(D58:D59)</f>
        <v>2</v>
      </c>
      <c r="E60" s="17">
        <f>SUM(E58:E59)</f>
        <v>55</v>
      </c>
      <c r="F60" s="17">
        <f>SUM(F58:F59)</f>
        <v>72</v>
      </c>
      <c r="G60" s="17">
        <f>D60/SUM(D60:F60)*100</f>
        <v>1.5503875968992249</v>
      </c>
      <c r="H60" s="17">
        <f>E60/SUM(D60:F60)*100</f>
        <v>42.63565891472868</v>
      </c>
      <c r="I60" s="17">
        <f>F60/SUM(D60:F60)*100</f>
        <v>55.813953488372093</v>
      </c>
      <c r="J60" s="17">
        <f>SUM(D60:F60)</f>
        <v>129</v>
      </c>
    </row>
    <row r="61" spans="1:10">
      <c r="A61" s="15" t="s">
        <v>373</v>
      </c>
      <c r="B61" s="15" t="s">
        <v>739</v>
      </c>
      <c r="C61" s="15" t="s">
        <v>875</v>
      </c>
      <c r="D61" s="15">
        <v>2</v>
      </c>
      <c r="E61" s="15">
        <f>42-15</f>
        <v>27</v>
      </c>
      <c r="F61" s="15">
        <v>15</v>
      </c>
      <c r="G61" s="15"/>
      <c r="H61" s="15"/>
      <c r="I61" s="15"/>
      <c r="J61" s="15"/>
    </row>
    <row r="62" spans="1:10">
      <c r="A62" s="15" t="s">
        <v>373</v>
      </c>
      <c r="B62" s="15" t="s">
        <v>739</v>
      </c>
      <c r="C62" s="15" t="s">
        <v>875</v>
      </c>
      <c r="D62" s="15">
        <v>0</v>
      </c>
      <c r="E62" s="15">
        <v>14</v>
      </c>
      <c r="F62" s="15">
        <v>0</v>
      </c>
      <c r="G62" s="15"/>
      <c r="H62" s="15"/>
      <c r="I62" s="15"/>
      <c r="J62" s="15"/>
    </row>
    <row r="63" spans="1:10">
      <c r="A63" s="17" t="s">
        <v>374</v>
      </c>
      <c r="B63" s="17" t="s">
        <v>739</v>
      </c>
      <c r="C63" s="17" t="s">
        <v>875</v>
      </c>
      <c r="D63" s="17">
        <f>SUM(D61:D62)</f>
        <v>2</v>
      </c>
      <c r="E63" s="17">
        <f>SUM(E61:E62)</f>
        <v>41</v>
      </c>
      <c r="F63" s="17">
        <f>SUM(F61:F62)</f>
        <v>15</v>
      </c>
      <c r="G63" s="17">
        <f>D63/SUM(D63:F63)*100</f>
        <v>3.4482758620689653</v>
      </c>
      <c r="H63" s="17">
        <f>E63/SUM(D63:F63)*100</f>
        <v>70.689655172413794</v>
      </c>
      <c r="I63" s="17">
        <f>F63/SUM(D63:F63)*100</f>
        <v>25.862068965517242</v>
      </c>
      <c r="J63" s="17">
        <f>SUM(D63:F63)</f>
        <v>58</v>
      </c>
    </row>
    <row r="64" spans="1:10">
      <c r="A64" s="15" t="s">
        <v>375</v>
      </c>
      <c r="B64" s="15" t="s">
        <v>739</v>
      </c>
      <c r="C64" s="15" t="s">
        <v>875</v>
      </c>
      <c r="D64" s="15">
        <v>2</v>
      </c>
      <c r="E64" s="15">
        <v>10</v>
      </c>
      <c r="F64" s="15">
        <v>14</v>
      </c>
      <c r="G64" s="15"/>
      <c r="H64" s="15"/>
      <c r="I64" s="15"/>
      <c r="J64" s="15"/>
    </row>
    <row r="65" spans="1:10">
      <c r="A65" s="15" t="s">
        <v>375</v>
      </c>
      <c r="B65" s="15" t="s">
        <v>739</v>
      </c>
      <c r="C65" s="15" t="s">
        <v>875</v>
      </c>
      <c r="D65" s="15">
        <v>1</v>
      </c>
      <c r="E65" s="15">
        <f>25-16</f>
        <v>9</v>
      </c>
      <c r="F65" s="15">
        <v>16</v>
      </c>
      <c r="G65" s="15"/>
      <c r="H65" s="15"/>
      <c r="I65" s="15"/>
      <c r="J65" s="15"/>
    </row>
    <row r="66" spans="1:10">
      <c r="A66" s="17" t="s">
        <v>376</v>
      </c>
      <c r="B66" s="17" t="s">
        <v>739</v>
      </c>
      <c r="C66" s="17" t="s">
        <v>875</v>
      </c>
      <c r="D66" s="17">
        <f>SUM(D64:D65)</f>
        <v>3</v>
      </c>
      <c r="E66" s="17">
        <f>SUM(E64:E65)</f>
        <v>19</v>
      </c>
      <c r="F66" s="17">
        <f>SUM(F64:F65)</f>
        <v>30</v>
      </c>
      <c r="G66" s="17">
        <f>D66/SUM(D66:F66)*100</f>
        <v>5.7692307692307692</v>
      </c>
      <c r="H66" s="17">
        <f>E66/SUM(D66:F66)*100</f>
        <v>36.538461538461533</v>
      </c>
      <c r="I66" s="17">
        <f>F66/SUM(D66:F66)*100</f>
        <v>57.692307692307686</v>
      </c>
      <c r="J66" s="17">
        <f>SUM(D66:F66)</f>
        <v>52</v>
      </c>
    </row>
    <row r="67" spans="1:10">
      <c r="A67" s="15" t="s">
        <v>377</v>
      </c>
      <c r="B67" s="15" t="s">
        <v>739</v>
      </c>
      <c r="C67" s="15" t="s">
        <v>875</v>
      </c>
      <c r="D67" s="15">
        <v>2</v>
      </c>
      <c r="E67" s="15">
        <v>16</v>
      </c>
      <c r="F67" s="15">
        <v>4</v>
      </c>
      <c r="G67" s="15"/>
      <c r="H67" s="15"/>
      <c r="I67" s="15"/>
      <c r="J67" s="15"/>
    </row>
    <row r="68" spans="1:10">
      <c r="A68" s="15" t="s">
        <v>377</v>
      </c>
      <c r="B68" s="15" t="s">
        <v>739</v>
      </c>
      <c r="C68" s="15" t="s">
        <v>875</v>
      </c>
      <c r="D68" s="15">
        <v>2</v>
      </c>
      <c r="E68" s="15">
        <v>20</v>
      </c>
      <c r="F68" s="15">
        <v>5</v>
      </c>
      <c r="G68" s="15"/>
      <c r="H68" s="15"/>
      <c r="I68" s="15"/>
      <c r="J68" s="15"/>
    </row>
    <row r="69" spans="1:10">
      <c r="A69" s="17" t="s">
        <v>378</v>
      </c>
      <c r="B69" s="17" t="s">
        <v>739</v>
      </c>
      <c r="C69" s="17" t="s">
        <v>875</v>
      </c>
      <c r="D69" s="17">
        <f>SUM(D67:D68)</f>
        <v>4</v>
      </c>
      <c r="E69" s="17">
        <f>SUM(E67:E68)</f>
        <v>36</v>
      </c>
      <c r="F69" s="17">
        <f>SUM(F67:F68)</f>
        <v>9</v>
      </c>
      <c r="G69" s="17">
        <f>D69/SUM(D69:F69)*100</f>
        <v>8.1632653061224492</v>
      </c>
      <c r="H69" s="17">
        <f>E69/SUM(D69:F69)*100</f>
        <v>73.469387755102048</v>
      </c>
      <c r="I69" s="17">
        <f>F69/SUM(D69:F69)*100</f>
        <v>18.367346938775512</v>
      </c>
      <c r="J69" s="17">
        <f>SUM(D69:F69)</f>
        <v>49</v>
      </c>
    </row>
    <row r="70" spans="1:10">
      <c r="A70" s="15" t="s">
        <v>379</v>
      </c>
      <c r="B70" s="15" t="s">
        <v>739</v>
      </c>
      <c r="C70" s="15" t="s">
        <v>875</v>
      </c>
      <c r="D70" s="15">
        <v>0</v>
      </c>
      <c r="E70" s="15">
        <f>29-3</f>
        <v>26</v>
      </c>
      <c r="F70" s="15">
        <v>3</v>
      </c>
      <c r="G70" s="15"/>
      <c r="H70" s="15"/>
      <c r="I70" s="15"/>
      <c r="J70" s="15"/>
    </row>
    <row r="71" spans="1:10">
      <c r="A71" s="15" t="s">
        <v>379</v>
      </c>
      <c r="B71" s="15" t="s">
        <v>739</v>
      </c>
      <c r="C71" s="15" t="s">
        <v>875</v>
      </c>
      <c r="D71" s="15">
        <v>0</v>
      </c>
      <c r="E71" s="15">
        <v>32</v>
      </c>
      <c r="F71" s="15">
        <v>2</v>
      </c>
      <c r="G71" s="15"/>
      <c r="H71" s="15"/>
      <c r="I71" s="15"/>
      <c r="J71" s="15"/>
    </row>
    <row r="72" spans="1:10">
      <c r="A72" s="17" t="s">
        <v>380</v>
      </c>
      <c r="B72" s="17" t="s">
        <v>739</v>
      </c>
      <c r="C72" s="17" t="s">
        <v>875</v>
      </c>
      <c r="D72" s="17">
        <f>SUM(D70:D71)</f>
        <v>0</v>
      </c>
      <c r="E72" s="17">
        <f>SUM(E70:E71)</f>
        <v>58</v>
      </c>
      <c r="F72" s="17">
        <f>SUM(F70:F71)</f>
        <v>5</v>
      </c>
      <c r="G72" s="17">
        <f>D72/SUM(D72:F72)*100</f>
        <v>0</v>
      </c>
      <c r="H72" s="17">
        <f>E72/SUM(D72:F72)*100</f>
        <v>92.063492063492063</v>
      </c>
      <c r="I72" s="17">
        <f>F72/SUM(D72:F72)*100</f>
        <v>7.9365079365079358</v>
      </c>
      <c r="J72" s="17">
        <f>SUM(D72:F72)</f>
        <v>63</v>
      </c>
    </row>
    <row r="73" spans="1:10">
      <c r="A73" s="15" t="s">
        <v>381</v>
      </c>
      <c r="B73" s="15" t="s">
        <v>739</v>
      </c>
      <c r="C73" s="15" t="s">
        <v>875</v>
      </c>
      <c r="D73" s="15">
        <v>2</v>
      </c>
      <c r="E73" s="15">
        <f>52-20</f>
        <v>32</v>
      </c>
      <c r="F73" s="15">
        <v>20</v>
      </c>
      <c r="G73" s="15"/>
      <c r="H73" s="15"/>
      <c r="I73" s="15"/>
      <c r="J73" s="15"/>
    </row>
    <row r="74" spans="1:10">
      <c r="A74" s="15" t="s">
        <v>381</v>
      </c>
      <c r="B74" s="15" t="s">
        <v>739</v>
      </c>
      <c r="C74" s="15" t="s">
        <v>875</v>
      </c>
      <c r="D74" s="15">
        <v>2</v>
      </c>
      <c r="E74" s="15">
        <f>25-14</f>
        <v>11</v>
      </c>
      <c r="F74" s="15">
        <v>14</v>
      </c>
      <c r="G74" s="15"/>
      <c r="H74" s="15"/>
      <c r="I74" s="15"/>
      <c r="J74" s="15"/>
    </row>
    <row r="75" spans="1:10">
      <c r="A75" s="17" t="s">
        <v>382</v>
      </c>
      <c r="B75" s="17" t="s">
        <v>739</v>
      </c>
      <c r="C75" s="17" t="s">
        <v>875</v>
      </c>
      <c r="D75" s="17">
        <f>SUM(D73:D74)</f>
        <v>4</v>
      </c>
      <c r="E75" s="17">
        <f>SUM(E73:E74)</f>
        <v>43</v>
      </c>
      <c r="F75" s="17">
        <f>SUM(F73:F74)</f>
        <v>34</v>
      </c>
      <c r="G75" s="17">
        <f>D75/SUM(D75:F75)*100</f>
        <v>4.9382716049382713</v>
      </c>
      <c r="H75" s="17">
        <f>E75/SUM(D75:F75)*100</f>
        <v>53.086419753086425</v>
      </c>
      <c r="I75" s="17">
        <f>F75/SUM(D75:F75)*100</f>
        <v>41.975308641975303</v>
      </c>
      <c r="J75" s="17">
        <f>SUM(D75:F75)</f>
        <v>81</v>
      </c>
    </row>
    <row r="76" spans="1:10">
      <c r="A76" s="16" t="s">
        <v>23</v>
      </c>
      <c r="F76" s="13" t="s">
        <v>22</v>
      </c>
      <c r="G76" s="29">
        <f>AVERAGE(G60,G63,G66,G69,G72,G75)</f>
        <v>3.9782385232099471</v>
      </c>
      <c r="H76" s="29">
        <f>AVERAGE(H60,H63,H66,H69,H72,H75)</f>
        <v>61.413845866214096</v>
      </c>
      <c r="I76" s="29">
        <f>AVERAGE(I60,I63,I66,I69,I72,I75)</f>
        <v>34.607915610575958</v>
      </c>
      <c r="J76" s="21" t="s">
        <v>492</v>
      </c>
    </row>
    <row r="77" spans="1:10">
      <c r="F77" s="13" t="s">
        <v>570</v>
      </c>
      <c r="G77" s="29">
        <f>STDEV(G60,G63,G66,G69,G72,G75)</f>
        <v>2.9545039586081985</v>
      </c>
      <c r="H77" s="29">
        <f>STDEV(H60,H63,H66,H69,H72,H75)</f>
        <v>21.03106567364555</v>
      </c>
      <c r="I77" s="29">
        <f>STDEV(I60,I63,I66,I69,I72,I75)</f>
        <v>20.437580933052921</v>
      </c>
      <c r="J77" s="15">
        <f>SUM(J60,J63,J66,J69,J72,J75)</f>
        <v>432</v>
      </c>
    </row>
    <row r="80" spans="1:10">
      <c r="A80" s="15" t="s">
        <v>383</v>
      </c>
      <c r="B80" s="15" t="s">
        <v>3</v>
      </c>
      <c r="C80" s="15" t="s">
        <v>875</v>
      </c>
      <c r="D80" s="15">
        <v>3</v>
      </c>
      <c r="E80" s="15">
        <f>40-26</f>
        <v>14</v>
      </c>
      <c r="F80" s="15">
        <v>26</v>
      </c>
      <c r="G80" s="15"/>
      <c r="H80" s="15"/>
      <c r="I80" s="15"/>
      <c r="J80" s="15"/>
    </row>
    <row r="81" spans="1:10">
      <c r="A81" s="15" t="s">
        <v>383</v>
      </c>
      <c r="B81" s="15" t="s">
        <v>3</v>
      </c>
      <c r="C81" s="15" t="s">
        <v>875</v>
      </c>
      <c r="D81" s="15">
        <v>10</v>
      </c>
      <c r="E81" s="15">
        <f>35-21</f>
        <v>14</v>
      </c>
      <c r="F81" s="15">
        <v>21</v>
      </c>
      <c r="G81" s="15"/>
      <c r="H81" s="15"/>
      <c r="I81" s="15"/>
      <c r="J81" s="15"/>
    </row>
    <row r="82" spans="1:10">
      <c r="A82" s="17" t="s">
        <v>384</v>
      </c>
      <c r="B82" s="17" t="s">
        <v>3</v>
      </c>
      <c r="C82" s="17" t="s">
        <v>875</v>
      </c>
      <c r="D82" s="17">
        <f>SUM(D80:D81)</f>
        <v>13</v>
      </c>
      <c r="E82" s="17">
        <f>SUM(E80:E81)</f>
        <v>28</v>
      </c>
      <c r="F82" s="17">
        <f>SUM(F80:F81)</f>
        <v>47</v>
      </c>
      <c r="G82" s="17">
        <f>D82/SUM(D82:F82)*100</f>
        <v>14.772727272727273</v>
      </c>
      <c r="H82" s="17">
        <f>E82/SUM(D82:F82)*100</f>
        <v>31.818181818181817</v>
      </c>
      <c r="I82" s="17">
        <f>F82/SUM(D82:F82)*100</f>
        <v>53.409090909090907</v>
      </c>
      <c r="J82" s="17">
        <f>SUM(D82:F82)</f>
        <v>88</v>
      </c>
    </row>
    <row r="83" spans="1:10">
      <c r="A83" s="15" t="s">
        <v>385</v>
      </c>
      <c r="B83" s="15" t="s">
        <v>3</v>
      </c>
      <c r="C83" s="15" t="s">
        <v>875</v>
      </c>
      <c r="D83" s="15">
        <v>2</v>
      </c>
      <c r="E83" s="15">
        <f>38-9</f>
        <v>29</v>
      </c>
      <c r="F83" s="15">
        <v>9</v>
      </c>
      <c r="G83" s="15"/>
      <c r="H83" s="15"/>
      <c r="I83" s="15"/>
      <c r="J83" s="15"/>
    </row>
    <row r="84" spans="1:10">
      <c r="A84" s="15" t="s">
        <v>385</v>
      </c>
      <c r="B84" s="15" t="s">
        <v>3</v>
      </c>
      <c r="C84" s="15" t="s">
        <v>875</v>
      </c>
      <c r="D84" s="15">
        <v>1</v>
      </c>
      <c r="E84" s="15">
        <f>31-5</f>
        <v>26</v>
      </c>
      <c r="F84" s="15">
        <v>5</v>
      </c>
      <c r="G84" s="15"/>
      <c r="H84" s="15"/>
      <c r="I84" s="15"/>
      <c r="J84" s="15"/>
    </row>
    <row r="85" spans="1:10">
      <c r="A85" s="17" t="s">
        <v>386</v>
      </c>
      <c r="B85" s="17" t="s">
        <v>3</v>
      </c>
      <c r="C85" s="17" t="s">
        <v>875</v>
      </c>
      <c r="D85" s="17">
        <f>SUM(D83:D84)</f>
        <v>3</v>
      </c>
      <c r="E85" s="17">
        <f>SUM(E83:E84)</f>
        <v>55</v>
      </c>
      <c r="F85" s="17">
        <f>SUM(F83:F84)</f>
        <v>14</v>
      </c>
      <c r="G85" s="17">
        <f>D85/SUM(D85:F85)*100</f>
        <v>4.1666666666666661</v>
      </c>
      <c r="H85" s="17">
        <f>E85/SUM(D85:F85)*100</f>
        <v>76.388888888888886</v>
      </c>
      <c r="I85" s="17">
        <f>F85/SUM(D85:F85)*100</f>
        <v>19.444444444444446</v>
      </c>
      <c r="J85" s="17">
        <f>SUM(D85:F85)</f>
        <v>72</v>
      </c>
    </row>
    <row r="86" spans="1:10">
      <c r="A86" s="15" t="s">
        <v>387</v>
      </c>
      <c r="B86" s="15" t="s">
        <v>3</v>
      </c>
      <c r="C86" s="15" t="s">
        <v>875</v>
      </c>
      <c r="D86" s="15">
        <v>4</v>
      </c>
      <c r="E86" s="15">
        <f>27-16</f>
        <v>11</v>
      </c>
      <c r="F86" s="15">
        <v>16</v>
      </c>
      <c r="G86" s="15"/>
      <c r="H86" s="15"/>
      <c r="I86" s="15"/>
      <c r="J86" s="15"/>
    </row>
    <row r="87" spans="1:10">
      <c r="A87" s="15" t="s">
        <v>387</v>
      </c>
      <c r="B87" s="15" t="s">
        <v>3</v>
      </c>
      <c r="C87" s="15" t="s">
        <v>875</v>
      </c>
      <c r="D87" s="15">
        <v>3</v>
      </c>
      <c r="E87" s="15">
        <f>31-13</f>
        <v>18</v>
      </c>
      <c r="F87" s="15">
        <v>13</v>
      </c>
      <c r="G87" s="15"/>
      <c r="H87" s="15"/>
      <c r="I87" s="15"/>
      <c r="J87" s="15"/>
    </row>
    <row r="88" spans="1:10">
      <c r="A88" s="17" t="s">
        <v>388</v>
      </c>
      <c r="B88" s="17" t="s">
        <v>3</v>
      </c>
      <c r="C88" s="17" t="s">
        <v>875</v>
      </c>
      <c r="D88" s="17">
        <f>SUM(D86:D87)</f>
        <v>7</v>
      </c>
      <c r="E88" s="17">
        <f>SUM(E86:E87)</f>
        <v>29</v>
      </c>
      <c r="F88" s="17">
        <f>SUM(F86:F87)</f>
        <v>29</v>
      </c>
      <c r="G88" s="17">
        <f>D88/SUM(D88:F88)*100</f>
        <v>10.76923076923077</v>
      </c>
      <c r="H88" s="17">
        <f>E88/SUM(D88:F88)*100</f>
        <v>44.61538461538462</v>
      </c>
      <c r="I88" s="17">
        <f>F88/SUM(D88:F88)*100</f>
        <v>44.61538461538462</v>
      </c>
      <c r="J88" s="17">
        <f>SUM(D88:F88)</f>
        <v>65</v>
      </c>
    </row>
    <row r="89" spans="1:10">
      <c r="A89" s="15" t="s">
        <v>389</v>
      </c>
      <c r="B89" s="15" t="s">
        <v>3</v>
      </c>
      <c r="C89" s="15" t="s">
        <v>875</v>
      </c>
      <c r="D89" s="15">
        <v>2</v>
      </c>
      <c r="E89" s="15">
        <v>10</v>
      </c>
      <c r="F89" s="15">
        <v>26</v>
      </c>
      <c r="G89" s="15"/>
      <c r="H89" s="15"/>
      <c r="I89" s="15"/>
      <c r="J89" s="15"/>
    </row>
    <row r="90" spans="1:10">
      <c r="A90" s="15" t="s">
        <v>389</v>
      </c>
      <c r="B90" s="15" t="s">
        <v>3</v>
      </c>
      <c r="C90" s="15" t="s">
        <v>875</v>
      </c>
      <c r="D90" s="15">
        <v>3</v>
      </c>
      <c r="E90" s="15">
        <v>21</v>
      </c>
      <c r="F90" s="15">
        <v>7</v>
      </c>
      <c r="G90" s="15"/>
      <c r="H90" s="15"/>
      <c r="I90" s="15"/>
      <c r="J90" s="15"/>
    </row>
    <row r="91" spans="1:10">
      <c r="A91" s="17" t="s">
        <v>390</v>
      </c>
      <c r="B91" s="17" t="s">
        <v>3</v>
      </c>
      <c r="C91" s="17" t="s">
        <v>875</v>
      </c>
      <c r="D91" s="17">
        <f>SUM(D89:D90)</f>
        <v>5</v>
      </c>
      <c r="E91" s="17">
        <f>SUM(E89:E90)</f>
        <v>31</v>
      </c>
      <c r="F91" s="17">
        <f>SUM(F89:F90)</f>
        <v>33</v>
      </c>
      <c r="G91" s="17">
        <f>D91/SUM(D91:F91)*100</f>
        <v>7.2463768115942031</v>
      </c>
      <c r="H91" s="17">
        <f>E91/SUM(D91:F91)*100</f>
        <v>44.927536231884055</v>
      </c>
      <c r="I91" s="17">
        <f>F91/SUM(D91:F91)*100</f>
        <v>47.826086956521742</v>
      </c>
      <c r="J91" s="17">
        <f>SUM(D91:F91)</f>
        <v>69</v>
      </c>
    </row>
    <row r="92" spans="1:10">
      <c r="A92" s="15" t="s">
        <v>391</v>
      </c>
      <c r="B92" s="15" t="s">
        <v>3</v>
      </c>
      <c r="C92" s="15" t="s">
        <v>875</v>
      </c>
      <c r="D92" s="15">
        <v>6</v>
      </c>
      <c r="E92" s="15">
        <f>27-19</f>
        <v>8</v>
      </c>
      <c r="F92" s="15">
        <f>25-6</f>
        <v>19</v>
      </c>
      <c r="G92" s="15"/>
      <c r="H92" s="15"/>
      <c r="I92" s="15"/>
      <c r="J92" s="15"/>
    </row>
    <row r="93" spans="1:10">
      <c r="A93" s="15" t="s">
        <v>391</v>
      </c>
      <c r="B93" s="15" t="s">
        <v>3</v>
      </c>
      <c r="C93" s="15" t="s">
        <v>875</v>
      </c>
      <c r="D93" s="15">
        <v>10</v>
      </c>
      <c r="E93" s="15">
        <v>14</v>
      </c>
      <c r="F93" s="15">
        <v>14</v>
      </c>
      <c r="G93" s="15"/>
      <c r="H93" s="15"/>
      <c r="I93" s="15"/>
      <c r="J93" s="15"/>
    </row>
    <row r="94" spans="1:10">
      <c r="A94" s="17" t="s">
        <v>392</v>
      </c>
      <c r="B94" s="17" t="s">
        <v>3</v>
      </c>
      <c r="C94" s="17" t="s">
        <v>875</v>
      </c>
      <c r="D94" s="17">
        <f>SUM(D92:D93)</f>
        <v>16</v>
      </c>
      <c r="E94" s="17">
        <f>SUM(E92:E93)</f>
        <v>22</v>
      </c>
      <c r="F94" s="17">
        <f>SUM(F92:F93)</f>
        <v>33</v>
      </c>
      <c r="G94" s="17">
        <f>D94/SUM(D94:F94)*100</f>
        <v>22.535211267605636</v>
      </c>
      <c r="H94" s="17">
        <f>E94/SUM(D94:F94)*100</f>
        <v>30.985915492957744</v>
      </c>
      <c r="I94" s="17">
        <f>F94/SUM(D94:F94)*100</f>
        <v>46.478873239436616</v>
      </c>
      <c r="J94" s="17">
        <f>SUM(D94:F94)</f>
        <v>71</v>
      </c>
    </row>
    <row r="95" spans="1:10">
      <c r="A95" s="15" t="s">
        <v>393</v>
      </c>
      <c r="B95" s="15" t="s">
        <v>3</v>
      </c>
      <c r="C95" s="15" t="s">
        <v>875</v>
      </c>
      <c r="D95" s="15">
        <v>2</v>
      </c>
      <c r="E95" s="15">
        <f>35-8</f>
        <v>27</v>
      </c>
      <c r="F95" s="15">
        <v>8</v>
      </c>
      <c r="G95" s="15"/>
      <c r="H95" s="15"/>
      <c r="I95" s="15"/>
      <c r="J95" s="15"/>
    </row>
    <row r="96" spans="1:10">
      <c r="A96" s="15" t="s">
        <v>393</v>
      </c>
      <c r="B96" s="15" t="s">
        <v>3</v>
      </c>
      <c r="C96" s="15" t="s">
        <v>875</v>
      </c>
      <c r="D96" s="15">
        <v>1</v>
      </c>
      <c r="E96" s="15">
        <f>58-37</f>
        <v>21</v>
      </c>
      <c r="F96" s="15">
        <v>37</v>
      </c>
      <c r="G96" s="15"/>
      <c r="H96" s="15"/>
      <c r="I96" s="15"/>
      <c r="J96" s="15"/>
    </row>
    <row r="97" spans="1:10">
      <c r="A97" s="17" t="s">
        <v>394</v>
      </c>
      <c r="B97" s="17" t="s">
        <v>3</v>
      </c>
      <c r="C97" s="17" t="s">
        <v>875</v>
      </c>
      <c r="D97" s="17">
        <f>SUM(D95:D96)</f>
        <v>3</v>
      </c>
      <c r="E97" s="17">
        <f>SUM(E95:E96)</f>
        <v>48</v>
      </c>
      <c r="F97" s="17">
        <f>SUM(F95:F96)</f>
        <v>45</v>
      </c>
      <c r="G97" s="17">
        <f>D97/SUM(D97:F97)*100</f>
        <v>3.125</v>
      </c>
      <c r="H97" s="17">
        <f>E97/SUM(D97:F97)*100</f>
        <v>50</v>
      </c>
      <c r="I97" s="17">
        <f>F97/SUM(D97:F97)*100</f>
        <v>46.875</v>
      </c>
      <c r="J97" s="17">
        <f>SUM(D97:F97)</f>
        <v>96</v>
      </c>
    </row>
    <row r="98" spans="1:10">
      <c r="A98" s="16" t="s">
        <v>23</v>
      </c>
      <c r="F98" s="13" t="s">
        <v>22</v>
      </c>
      <c r="G98" s="29">
        <f>AVERAGE(G82,G85,G88,G91,G94,G97)</f>
        <v>10.435868797970757</v>
      </c>
      <c r="H98" s="29">
        <f>AVERAGE(H82,H85,H88,H91,H94,H97)</f>
        <v>46.455984507882853</v>
      </c>
      <c r="I98" s="29">
        <f>AVERAGE(I82,I85,I88,I91,I94,I97)</f>
        <v>43.108146694146392</v>
      </c>
      <c r="J98" s="21" t="s">
        <v>492</v>
      </c>
    </row>
    <row r="99" spans="1:10">
      <c r="F99" s="13" t="s">
        <v>570</v>
      </c>
      <c r="G99" s="29">
        <f>STDEV(G82,G85,G88,G91,G94,G97)</f>
        <v>7.3244537940642456</v>
      </c>
      <c r="H99" s="29">
        <f>STDEV(H82,H85,H88,H91,H94,H97)</f>
        <v>16.539958134751419</v>
      </c>
      <c r="I99" s="29">
        <f>STDEV(I82,I85,I88,I91,I94,I97)</f>
        <v>11.967973626503809</v>
      </c>
      <c r="J99" s="15">
        <f>SUM(J82,J85,J88,J91,J94,J97)</f>
        <v>461</v>
      </c>
    </row>
    <row r="101" spans="1:10">
      <c r="A101" s="36"/>
      <c r="B101" s="40" t="s">
        <v>712</v>
      </c>
      <c r="C101" s="40"/>
      <c r="D101" s="40"/>
    </row>
    <row r="102" spans="1:10">
      <c r="A102" s="36"/>
      <c r="B102" s="21" t="s">
        <v>576</v>
      </c>
      <c r="C102" s="21" t="s">
        <v>577</v>
      </c>
      <c r="D102" s="21" t="s">
        <v>578</v>
      </c>
    </row>
    <row r="103" spans="1:10">
      <c r="A103" s="21" t="s">
        <v>713</v>
      </c>
      <c r="B103" s="15">
        <v>3.1600000000000003E-2</v>
      </c>
      <c r="C103" s="15">
        <v>9.1000000000000004E-3</v>
      </c>
      <c r="D103" s="15">
        <v>5.6500000000000002E-2</v>
      </c>
    </row>
    <row r="104" spans="1:10">
      <c r="A104" s="21" t="s">
        <v>714</v>
      </c>
      <c r="B104" s="15">
        <v>4.5400000000000003E-2</v>
      </c>
      <c r="C104" s="15">
        <v>1.24E-2</v>
      </c>
      <c r="D104" s="15">
        <v>1.3899999999999999E-2</v>
      </c>
    </row>
    <row r="105" spans="1:10">
      <c r="A105" s="21" t="s">
        <v>715</v>
      </c>
      <c r="B105" s="15">
        <v>2.1600000000000001E-2</v>
      </c>
      <c r="C105" s="15">
        <v>2.0999999999999999E-3</v>
      </c>
      <c r="D105" s="15">
        <v>1.5E-3</v>
      </c>
    </row>
    <row r="106" spans="1:10">
      <c r="A106" s="21" t="s">
        <v>716</v>
      </c>
      <c r="B106" s="15">
        <v>3.4599999999999999E-2</v>
      </c>
      <c r="C106" s="15">
        <v>1.2699999999999999E-2</v>
      </c>
      <c r="D106" s="15">
        <v>1.78E-2</v>
      </c>
    </row>
    <row r="111" spans="1:10">
      <c r="A111" s="17" t="s">
        <v>744</v>
      </c>
      <c r="B111" s="17" t="s">
        <v>742</v>
      </c>
      <c r="C111" s="17" t="s">
        <v>500</v>
      </c>
      <c r="D111" s="41">
        <v>0</v>
      </c>
      <c r="E111" s="41">
        <v>8</v>
      </c>
      <c r="F111" s="41">
        <v>3</v>
      </c>
      <c r="G111" s="17">
        <f t="shared" ref="G111:G121" si="0">D111/SUM(D111:F111)*100</f>
        <v>0</v>
      </c>
      <c r="H111" s="17">
        <f t="shared" ref="H111:H121" si="1">E111/SUM(D111:F111)*100</f>
        <v>72.727272727272734</v>
      </c>
      <c r="I111" s="17">
        <f t="shared" ref="I111:I121" si="2">F111/SUM(D111:F111)*100</f>
        <v>27.27272727272727</v>
      </c>
      <c r="J111" s="17">
        <f t="shared" ref="J111:J121" si="3">SUM(D111:F111)</f>
        <v>11</v>
      </c>
    </row>
    <row r="112" spans="1:10">
      <c r="A112" s="17" t="s">
        <v>745</v>
      </c>
      <c r="B112" s="17" t="s">
        <v>742</v>
      </c>
      <c r="C112" s="17" t="s">
        <v>500</v>
      </c>
      <c r="D112" s="17">
        <v>0</v>
      </c>
      <c r="E112" s="17">
        <v>4</v>
      </c>
      <c r="F112" s="17">
        <v>2</v>
      </c>
      <c r="G112" s="17">
        <f t="shared" si="0"/>
        <v>0</v>
      </c>
      <c r="H112" s="17">
        <f t="shared" si="1"/>
        <v>66.666666666666657</v>
      </c>
      <c r="I112" s="17">
        <f t="shared" si="2"/>
        <v>33.333333333333329</v>
      </c>
      <c r="J112" s="17">
        <f t="shared" si="3"/>
        <v>6</v>
      </c>
    </row>
    <row r="113" spans="1:10">
      <c r="A113" s="17" t="s">
        <v>746</v>
      </c>
      <c r="B113" s="17" t="s">
        <v>742</v>
      </c>
      <c r="C113" s="17" t="s">
        <v>500</v>
      </c>
      <c r="D113" s="17">
        <v>0</v>
      </c>
      <c r="E113" s="17">
        <v>5</v>
      </c>
      <c r="F113" s="17">
        <v>4</v>
      </c>
      <c r="G113" s="17">
        <f t="shared" si="0"/>
        <v>0</v>
      </c>
      <c r="H113" s="17">
        <f t="shared" si="1"/>
        <v>55.555555555555557</v>
      </c>
      <c r="I113" s="17">
        <f t="shared" si="2"/>
        <v>44.444444444444443</v>
      </c>
      <c r="J113" s="17">
        <f t="shared" si="3"/>
        <v>9</v>
      </c>
    </row>
    <row r="114" spans="1:10">
      <c r="A114" s="17" t="s">
        <v>747</v>
      </c>
      <c r="B114" s="17" t="s">
        <v>742</v>
      </c>
      <c r="C114" s="17" t="s">
        <v>500</v>
      </c>
      <c r="D114" s="17">
        <v>0</v>
      </c>
      <c r="E114" s="17">
        <v>5</v>
      </c>
      <c r="F114" s="17">
        <v>3</v>
      </c>
      <c r="G114" s="17">
        <f t="shared" si="0"/>
        <v>0</v>
      </c>
      <c r="H114" s="17">
        <f t="shared" si="1"/>
        <v>62.5</v>
      </c>
      <c r="I114" s="17">
        <f t="shared" si="2"/>
        <v>37.5</v>
      </c>
      <c r="J114" s="17">
        <f t="shared" si="3"/>
        <v>8</v>
      </c>
    </row>
    <row r="115" spans="1:10">
      <c r="A115" s="17" t="s">
        <v>748</v>
      </c>
      <c r="B115" s="17" t="s">
        <v>742</v>
      </c>
      <c r="C115" s="17" t="s">
        <v>500</v>
      </c>
      <c r="D115" s="17">
        <v>0</v>
      </c>
      <c r="E115" s="17">
        <v>3</v>
      </c>
      <c r="F115" s="17">
        <v>2</v>
      </c>
      <c r="G115" s="17">
        <f t="shared" si="0"/>
        <v>0</v>
      </c>
      <c r="H115" s="17">
        <f t="shared" si="1"/>
        <v>60</v>
      </c>
      <c r="I115" s="17">
        <f t="shared" si="2"/>
        <v>40</v>
      </c>
      <c r="J115" s="17">
        <f t="shared" si="3"/>
        <v>5</v>
      </c>
    </row>
    <row r="116" spans="1:10">
      <c r="A116" s="17" t="s">
        <v>749</v>
      </c>
      <c r="B116" s="17" t="s">
        <v>742</v>
      </c>
      <c r="C116" s="17" t="s">
        <v>500</v>
      </c>
      <c r="D116" s="17">
        <v>0</v>
      </c>
      <c r="E116" s="17">
        <v>5</v>
      </c>
      <c r="F116" s="17">
        <v>3</v>
      </c>
      <c r="G116" s="17">
        <f t="shared" si="0"/>
        <v>0</v>
      </c>
      <c r="H116" s="17">
        <f t="shared" si="1"/>
        <v>62.5</v>
      </c>
      <c r="I116" s="17">
        <f t="shared" si="2"/>
        <v>37.5</v>
      </c>
      <c r="J116" s="17">
        <f t="shared" si="3"/>
        <v>8</v>
      </c>
    </row>
    <row r="117" spans="1:10">
      <c r="A117" s="17" t="s">
        <v>750</v>
      </c>
      <c r="B117" s="17" t="s">
        <v>742</v>
      </c>
      <c r="C117" s="17" t="s">
        <v>500</v>
      </c>
      <c r="D117" s="17">
        <v>0</v>
      </c>
      <c r="E117" s="17">
        <v>6</v>
      </c>
      <c r="F117" s="17">
        <v>2</v>
      </c>
      <c r="G117" s="17">
        <f t="shared" si="0"/>
        <v>0</v>
      </c>
      <c r="H117" s="17">
        <f t="shared" si="1"/>
        <v>75</v>
      </c>
      <c r="I117" s="17">
        <f t="shared" si="2"/>
        <v>25</v>
      </c>
      <c r="J117" s="17">
        <f t="shared" si="3"/>
        <v>8</v>
      </c>
    </row>
    <row r="118" spans="1:10">
      <c r="A118" s="17" t="s">
        <v>751</v>
      </c>
      <c r="B118" s="17" t="s">
        <v>742</v>
      </c>
      <c r="C118" s="17" t="s">
        <v>500</v>
      </c>
      <c r="D118" s="41">
        <v>0</v>
      </c>
      <c r="E118" s="41">
        <v>3</v>
      </c>
      <c r="F118" s="41">
        <v>1</v>
      </c>
      <c r="G118" s="17">
        <f t="shared" si="0"/>
        <v>0</v>
      </c>
      <c r="H118" s="17">
        <f t="shared" si="1"/>
        <v>75</v>
      </c>
      <c r="I118" s="17">
        <f t="shared" si="2"/>
        <v>25</v>
      </c>
      <c r="J118" s="17">
        <f t="shared" si="3"/>
        <v>4</v>
      </c>
    </row>
    <row r="119" spans="1:10">
      <c r="A119" s="17" t="s">
        <v>752</v>
      </c>
      <c r="B119" s="17" t="s">
        <v>742</v>
      </c>
      <c r="C119" s="17" t="s">
        <v>500</v>
      </c>
      <c r="D119" s="17">
        <v>0</v>
      </c>
      <c r="E119" s="17">
        <v>11</v>
      </c>
      <c r="F119" s="17">
        <v>0</v>
      </c>
      <c r="G119" s="17">
        <f t="shared" si="0"/>
        <v>0</v>
      </c>
      <c r="H119" s="17">
        <f t="shared" si="1"/>
        <v>100</v>
      </c>
      <c r="I119" s="17">
        <f t="shared" si="2"/>
        <v>0</v>
      </c>
      <c r="J119" s="17">
        <f t="shared" si="3"/>
        <v>11</v>
      </c>
    </row>
    <row r="120" spans="1:10">
      <c r="A120" s="17" t="s">
        <v>753</v>
      </c>
      <c r="B120" s="17" t="s">
        <v>742</v>
      </c>
      <c r="C120" s="17" t="s">
        <v>500</v>
      </c>
      <c r="D120" s="17">
        <v>0</v>
      </c>
      <c r="E120" s="17">
        <v>10</v>
      </c>
      <c r="F120" s="17">
        <v>1</v>
      </c>
      <c r="G120" s="17">
        <f t="shared" si="0"/>
        <v>0</v>
      </c>
      <c r="H120" s="17">
        <f t="shared" si="1"/>
        <v>90.909090909090907</v>
      </c>
      <c r="I120" s="17">
        <f t="shared" si="2"/>
        <v>9.0909090909090917</v>
      </c>
      <c r="J120" s="17">
        <f t="shared" si="3"/>
        <v>11</v>
      </c>
    </row>
    <row r="121" spans="1:10">
      <c r="A121" s="17" t="s">
        <v>754</v>
      </c>
      <c r="B121" s="17" t="s">
        <v>742</v>
      </c>
      <c r="C121" s="17" t="s">
        <v>500</v>
      </c>
      <c r="D121" s="17">
        <v>0</v>
      </c>
      <c r="E121" s="17">
        <v>3</v>
      </c>
      <c r="F121" s="17">
        <v>3</v>
      </c>
      <c r="G121" s="17">
        <f t="shared" si="0"/>
        <v>0</v>
      </c>
      <c r="H121" s="17">
        <f t="shared" si="1"/>
        <v>50</v>
      </c>
      <c r="I121" s="17">
        <f t="shared" si="2"/>
        <v>50</v>
      </c>
      <c r="J121" s="17">
        <f t="shared" si="3"/>
        <v>6</v>
      </c>
    </row>
    <row r="122" spans="1:10">
      <c r="A122" s="16" t="s">
        <v>406</v>
      </c>
      <c r="B122" s="42"/>
      <c r="C122" s="43"/>
      <c r="D122" s="42"/>
      <c r="E122" s="43"/>
      <c r="F122" s="13" t="s">
        <v>22</v>
      </c>
      <c r="G122" s="20">
        <f>AVERAGE(G111:G121)</f>
        <v>0</v>
      </c>
      <c r="H122" s="20">
        <f>AVERAGE(H111:H121)</f>
        <v>70.078053259871439</v>
      </c>
      <c r="I122" s="20">
        <f>AVERAGE(I111:I121)</f>
        <v>29.921946740128554</v>
      </c>
      <c r="J122" s="21" t="s">
        <v>492</v>
      </c>
    </row>
    <row r="123" spans="1:10">
      <c r="A123" s="35"/>
      <c r="B123" s="26"/>
      <c r="C123" s="35"/>
      <c r="D123" s="26"/>
      <c r="E123" s="35"/>
      <c r="F123" s="13" t="s">
        <v>570</v>
      </c>
      <c r="G123" s="29">
        <f>STDEV(G111:G121)</f>
        <v>0</v>
      </c>
      <c r="H123" s="29">
        <f>STDEV(H111:H121)</f>
        <v>14.922513763331478</v>
      </c>
      <c r="I123" s="29">
        <f>STDEV(I111:I121)</f>
        <v>14.922513763331448</v>
      </c>
      <c r="J123" s="15">
        <f>SUM(J111:J121)</f>
        <v>87</v>
      </c>
    </row>
    <row r="125" spans="1:10">
      <c r="A125" s="17" t="s">
        <v>792</v>
      </c>
      <c r="B125" s="17" t="s">
        <v>742</v>
      </c>
      <c r="C125" s="17" t="s">
        <v>876</v>
      </c>
      <c r="D125" s="17">
        <v>0</v>
      </c>
      <c r="E125" s="17">
        <v>6</v>
      </c>
      <c r="F125" s="17">
        <v>2</v>
      </c>
      <c r="G125" s="17">
        <f t="shared" ref="G125:G139" si="4">D125/SUM(D125:F125)*100</f>
        <v>0</v>
      </c>
      <c r="H125" s="17">
        <f t="shared" ref="H125:H139" si="5">E125/SUM(D125:F125)*100</f>
        <v>75</v>
      </c>
      <c r="I125" s="17">
        <f t="shared" ref="I125:I139" si="6">F125/SUM(D125:F125)*100</f>
        <v>25</v>
      </c>
      <c r="J125" s="17">
        <f t="shared" ref="J125:J139" si="7">SUM(D125:F125)</f>
        <v>8</v>
      </c>
    </row>
    <row r="126" spans="1:10">
      <c r="A126" s="17" t="s">
        <v>793</v>
      </c>
      <c r="B126" s="17" t="s">
        <v>742</v>
      </c>
      <c r="C126" s="17" t="s">
        <v>876</v>
      </c>
      <c r="D126" s="17">
        <v>0</v>
      </c>
      <c r="E126" s="17">
        <v>8</v>
      </c>
      <c r="F126" s="17">
        <v>2</v>
      </c>
      <c r="G126" s="17">
        <f t="shared" si="4"/>
        <v>0</v>
      </c>
      <c r="H126" s="17">
        <f t="shared" si="5"/>
        <v>80</v>
      </c>
      <c r="I126" s="17">
        <f t="shared" si="6"/>
        <v>20</v>
      </c>
      <c r="J126" s="17">
        <f t="shared" si="7"/>
        <v>10</v>
      </c>
    </row>
    <row r="127" spans="1:10">
      <c r="A127" s="17" t="s">
        <v>794</v>
      </c>
      <c r="B127" s="17" t="s">
        <v>742</v>
      </c>
      <c r="C127" s="17" t="s">
        <v>876</v>
      </c>
      <c r="D127" s="17">
        <v>0</v>
      </c>
      <c r="E127" s="17">
        <v>2</v>
      </c>
      <c r="F127" s="17">
        <v>3</v>
      </c>
      <c r="G127" s="17">
        <f t="shared" si="4"/>
        <v>0</v>
      </c>
      <c r="H127" s="17">
        <f t="shared" si="5"/>
        <v>40</v>
      </c>
      <c r="I127" s="17">
        <f t="shared" si="6"/>
        <v>60</v>
      </c>
      <c r="J127" s="17">
        <f t="shared" si="7"/>
        <v>5</v>
      </c>
    </row>
    <row r="128" spans="1:10">
      <c r="A128" s="17" t="s">
        <v>795</v>
      </c>
      <c r="B128" s="17" t="s">
        <v>742</v>
      </c>
      <c r="C128" s="17" t="s">
        <v>876</v>
      </c>
      <c r="D128" s="17">
        <v>0</v>
      </c>
      <c r="E128" s="17">
        <v>7</v>
      </c>
      <c r="F128" s="17">
        <v>2</v>
      </c>
      <c r="G128" s="17">
        <f t="shared" si="4"/>
        <v>0</v>
      </c>
      <c r="H128" s="17">
        <f t="shared" si="5"/>
        <v>77.777777777777786</v>
      </c>
      <c r="I128" s="17">
        <f t="shared" si="6"/>
        <v>22.222222222222221</v>
      </c>
      <c r="J128" s="17">
        <f t="shared" si="7"/>
        <v>9</v>
      </c>
    </row>
    <row r="129" spans="1:10">
      <c r="A129" s="17" t="s">
        <v>796</v>
      </c>
      <c r="B129" s="17" t="s">
        <v>742</v>
      </c>
      <c r="C129" s="17" t="s">
        <v>876</v>
      </c>
      <c r="D129" s="17">
        <v>0</v>
      </c>
      <c r="E129" s="17">
        <v>1</v>
      </c>
      <c r="F129" s="17">
        <v>5</v>
      </c>
      <c r="G129" s="17">
        <f t="shared" si="4"/>
        <v>0</v>
      </c>
      <c r="H129" s="17">
        <f t="shared" si="5"/>
        <v>16.666666666666664</v>
      </c>
      <c r="I129" s="17">
        <f t="shared" si="6"/>
        <v>83.333333333333343</v>
      </c>
      <c r="J129" s="17">
        <f t="shared" si="7"/>
        <v>6</v>
      </c>
    </row>
    <row r="130" spans="1:10">
      <c r="A130" s="17" t="s">
        <v>797</v>
      </c>
      <c r="B130" s="17" t="s">
        <v>742</v>
      </c>
      <c r="C130" s="17" t="s">
        <v>876</v>
      </c>
      <c r="D130" s="17">
        <v>0</v>
      </c>
      <c r="E130" s="17">
        <v>5</v>
      </c>
      <c r="F130" s="17">
        <v>3</v>
      </c>
      <c r="G130" s="17">
        <f t="shared" si="4"/>
        <v>0</v>
      </c>
      <c r="H130" s="17">
        <f t="shared" si="5"/>
        <v>62.5</v>
      </c>
      <c r="I130" s="17">
        <f t="shared" si="6"/>
        <v>37.5</v>
      </c>
      <c r="J130" s="17">
        <f t="shared" si="7"/>
        <v>8</v>
      </c>
    </row>
    <row r="131" spans="1:10">
      <c r="A131" s="17" t="s">
        <v>798</v>
      </c>
      <c r="B131" s="17" t="s">
        <v>742</v>
      </c>
      <c r="C131" s="17" t="s">
        <v>876</v>
      </c>
      <c r="D131" s="17">
        <v>0</v>
      </c>
      <c r="E131" s="17">
        <v>4</v>
      </c>
      <c r="F131" s="17">
        <v>3</v>
      </c>
      <c r="G131" s="17">
        <f t="shared" si="4"/>
        <v>0</v>
      </c>
      <c r="H131" s="17">
        <f t="shared" si="5"/>
        <v>57.142857142857139</v>
      </c>
      <c r="I131" s="17">
        <f t="shared" si="6"/>
        <v>42.857142857142854</v>
      </c>
      <c r="J131" s="17">
        <f t="shared" si="7"/>
        <v>7</v>
      </c>
    </row>
    <row r="132" spans="1:10">
      <c r="A132" s="17" t="s">
        <v>799</v>
      </c>
      <c r="B132" s="17" t="s">
        <v>742</v>
      </c>
      <c r="C132" s="17" t="s">
        <v>876</v>
      </c>
      <c r="D132" s="17">
        <v>0</v>
      </c>
      <c r="E132" s="17">
        <v>4</v>
      </c>
      <c r="F132" s="17">
        <v>5</v>
      </c>
      <c r="G132" s="17">
        <f t="shared" si="4"/>
        <v>0</v>
      </c>
      <c r="H132" s="17">
        <f t="shared" si="5"/>
        <v>44.444444444444443</v>
      </c>
      <c r="I132" s="17">
        <f t="shared" si="6"/>
        <v>55.555555555555557</v>
      </c>
      <c r="J132" s="17">
        <f t="shared" si="7"/>
        <v>9</v>
      </c>
    </row>
    <row r="133" spans="1:10">
      <c r="A133" s="17" t="s">
        <v>800</v>
      </c>
      <c r="B133" s="17" t="s">
        <v>742</v>
      </c>
      <c r="C133" s="17" t="s">
        <v>876</v>
      </c>
      <c r="D133" s="17">
        <v>0</v>
      </c>
      <c r="E133" s="17">
        <v>1</v>
      </c>
      <c r="F133" s="17">
        <v>8</v>
      </c>
      <c r="G133" s="17">
        <f t="shared" si="4"/>
        <v>0</v>
      </c>
      <c r="H133" s="17">
        <f t="shared" si="5"/>
        <v>11.111111111111111</v>
      </c>
      <c r="I133" s="17">
        <f t="shared" si="6"/>
        <v>88.888888888888886</v>
      </c>
      <c r="J133" s="17">
        <f t="shared" si="7"/>
        <v>9</v>
      </c>
    </row>
    <row r="134" spans="1:10">
      <c r="A134" s="17" t="s">
        <v>801</v>
      </c>
      <c r="B134" s="17" t="s">
        <v>742</v>
      </c>
      <c r="C134" s="17" t="s">
        <v>876</v>
      </c>
      <c r="D134" s="17">
        <v>0</v>
      </c>
      <c r="E134" s="17">
        <v>8</v>
      </c>
      <c r="F134" s="17">
        <v>1</v>
      </c>
      <c r="G134" s="17">
        <f t="shared" si="4"/>
        <v>0</v>
      </c>
      <c r="H134" s="17">
        <f t="shared" si="5"/>
        <v>88.888888888888886</v>
      </c>
      <c r="I134" s="17">
        <f t="shared" si="6"/>
        <v>11.111111111111111</v>
      </c>
      <c r="J134" s="17">
        <f t="shared" si="7"/>
        <v>9</v>
      </c>
    </row>
    <row r="135" spans="1:10">
      <c r="A135" s="17" t="s">
        <v>802</v>
      </c>
      <c r="B135" s="17" t="s">
        <v>742</v>
      </c>
      <c r="C135" s="17" t="s">
        <v>876</v>
      </c>
      <c r="D135" s="17">
        <v>0</v>
      </c>
      <c r="E135" s="17">
        <v>5</v>
      </c>
      <c r="F135" s="17">
        <v>6</v>
      </c>
      <c r="G135" s="17">
        <f t="shared" si="4"/>
        <v>0</v>
      </c>
      <c r="H135" s="17">
        <f t="shared" si="5"/>
        <v>45.454545454545453</v>
      </c>
      <c r="I135" s="17">
        <f t="shared" si="6"/>
        <v>54.54545454545454</v>
      </c>
      <c r="J135" s="17">
        <f t="shared" si="7"/>
        <v>11</v>
      </c>
    </row>
    <row r="136" spans="1:10">
      <c r="A136" s="17" t="s">
        <v>803</v>
      </c>
      <c r="B136" s="17" t="s">
        <v>742</v>
      </c>
      <c r="C136" s="17" t="s">
        <v>876</v>
      </c>
      <c r="D136" s="17">
        <v>0</v>
      </c>
      <c r="E136" s="17">
        <v>5</v>
      </c>
      <c r="F136" s="17">
        <v>3</v>
      </c>
      <c r="G136" s="17">
        <f t="shared" si="4"/>
        <v>0</v>
      </c>
      <c r="H136" s="17">
        <f t="shared" si="5"/>
        <v>62.5</v>
      </c>
      <c r="I136" s="17">
        <f t="shared" si="6"/>
        <v>37.5</v>
      </c>
      <c r="J136" s="17">
        <f t="shared" si="7"/>
        <v>8</v>
      </c>
    </row>
    <row r="137" spans="1:10">
      <c r="A137" s="17" t="s">
        <v>804</v>
      </c>
      <c r="B137" s="17" t="s">
        <v>742</v>
      </c>
      <c r="C137" s="17" t="s">
        <v>876</v>
      </c>
      <c r="D137" s="17">
        <v>0</v>
      </c>
      <c r="E137" s="17">
        <v>5</v>
      </c>
      <c r="F137" s="17">
        <v>4</v>
      </c>
      <c r="G137" s="17">
        <f t="shared" si="4"/>
        <v>0</v>
      </c>
      <c r="H137" s="17">
        <f t="shared" si="5"/>
        <v>55.555555555555557</v>
      </c>
      <c r="I137" s="17">
        <f t="shared" si="6"/>
        <v>44.444444444444443</v>
      </c>
      <c r="J137" s="17">
        <f t="shared" si="7"/>
        <v>9</v>
      </c>
    </row>
    <row r="138" spans="1:10">
      <c r="A138" s="17" t="s">
        <v>805</v>
      </c>
      <c r="B138" s="17" t="s">
        <v>742</v>
      </c>
      <c r="C138" s="17" t="s">
        <v>876</v>
      </c>
      <c r="D138" s="17">
        <v>0</v>
      </c>
      <c r="E138" s="17">
        <v>3</v>
      </c>
      <c r="F138" s="17">
        <v>4</v>
      </c>
      <c r="G138" s="17">
        <f t="shared" si="4"/>
        <v>0</v>
      </c>
      <c r="H138" s="17">
        <f t="shared" si="5"/>
        <v>42.857142857142854</v>
      </c>
      <c r="I138" s="17">
        <f t="shared" si="6"/>
        <v>57.142857142857139</v>
      </c>
      <c r="J138" s="17">
        <f t="shared" si="7"/>
        <v>7</v>
      </c>
    </row>
    <row r="139" spans="1:10">
      <c r="A139" s="17" t="s">
        <v>806</v>
      </c>
      <c r="B139" s="17" t="s">
        <v>742</v>
      </c>
      <c r="C139" s="17" t="s">
        <v>876</v>
      </c>
      <c r="D139" s="17">
        <v>0</v>
      </c>
      <c r="E139" s="17">
        <v>7</v>
      </c>
      <c r="F139" s="17">
        <v>0</v>
      </c>
      <c r="G139" s="17">
        <f t="shared" si="4"/>
        <v>0</v>
      </c>
      <c r="H139" s="17">
        <f t="shared" si="5"/>
        <v>100</v>
      </c>
      <c r="I139" s="17">
        <f t="shared" si="6"/>
        <v>0</v>
      </c>
      <c r="J139" s="17">
        <f t="shared" si="7"/>
        <v>7</v>
      </c>
    </row>
    <row r="140" spans="1:10">
      <c r="A140" s="16" t="s">
        <v>568</v>
      </c>
      <c r="B140" s="42"/>
      <c r="C140" s="43"/>
      <c r="D140" s="42"/>
      <c r="E140" s="43"/>
      <c r="F140" s="13" t="s">
        <v>22</v>
      </c>
      <c r="G140" s="20">
        <f>AVERAGE(G125:G139)</f>
        <v>0</v>
      </c>
      <c r="H140" s="20">
        <f>AVERAGE(H125:H139)</f>
        <v>57.326599326599329</v>
      </c>
      <c r="I140" s="20">
        <f>AVERAGE(I125:I139)</f>
        <v>42.673400673400671</v>
      </c>
      <c r="J140" s="21" t="s">
        <v>492</v>
      </c>
    </row>
    <row r="141" spans="1:10">
      <c r="A141" s="35"/>
      <c r="B141" s="26"/>
      <c r="C141" s="35"/>
      <c r="D141" s="26"/>
      <c r="E141" s="35"/>
      <c r="F141" s="13" t="s">
        <v>570</v>
      </c>
      <c r="G141" s="29">
        <f>STDEV(G125:G139)</f>
        <v>0</v>
      </c>
      <c r="H141" s="29">
        <f>STDEV(H125:H139)</f>
        <v>24.963046847050546</v>
      </c>
      <c r="I141" s="29">
        <f>STDEV(I125:I139)</f>
        <v>24.963046847050567</v>
      </c>
      <c r="J141" s="15">
        <f>SUM(J125:J139)</f>
        <v>122</v>
      </c>
    </row>
    <row r="143" spans="1:10">
      <c r="A143" s="17" t="s">
        <v>755</v>
      </c>
      <c r="B143" s="17" t="s">
        <v>742</v>
      </c>
      <c r="C143" s="17" t="s">
        <v>875</v>
      </c>
      <c r="D143" s="17">
        <v>0</v>
      </c>
      <c r="E143" s="17">
        <v>3</v>
      </c>
      <c r="F143" s="17">
        <v>8</v>
      </c>
      <c r="G143" s="17">
        <f t="shared" ref="G143:G179" si="8">D143/SUM(D143:F143)*100</f>
        <v>0</v>
      </c>
      <c r="H143" s="17">
        <f t="shared" ref="H143:H179" si="9">E143/SUM(D143:F143)*100</f>
        <v>27.27272727272727</v>
      </c>
      <c r="I143" s="17">
        <f t="shared" ref="I143:I179" si="10">F143/SUM(D143:F143)*100</f>
        <v>72.727272727272734</v>
      </c>
      <c r="J143" s="17">
        <f t="shared" ref="J143:J179" si="11">SUM(D143:F143)</f>
        <v>11</v>
      </c>
    </row>
    <row r="144" spans="1:10">
      <c r="A144" s="17" t="s">
        <v>756</v>
      </c>
      <c r="B144" s="17" t="s">
        <v>742</v>
      </c>
      <c r="C144" s="17" t="s">
        <v>875</v>
      </c>
      <c r="D144" s="17">
        <v>0</v>
      </c>
      <c r="E144" s="17">
        <v>4</v>
      </c>
      <c r="F144" s="17">
        <v>2</v>
      </c>
      <c r="G144" s="17">
        <f t="shared" si="8"/>
        <v>0</v>
      </c>
      <c r="H144" s="17">
        <f t="shared" si="9"/>
        <v>66.666666666666657</v>
      </c>
      <c r="I144" s="17">
        <f t="shared" si="10"/>
        <v>33.333333333333329</v>
      </c>
      <c r="J144" s="17">
        <f t="shared" si="11"/>
        <v>6</v>
      </c>
    </row>
    <row r="145" spans="1:10">
      <c r="A145" s="17" t="s">
        <v>757</v>
      </c>
      <c r="B145" s="17" t="s">
        <v>742</v>
      </c>
      <c r="C145" s="17" t="s">
        <v>875</v>
      </c>
      <c r="D145" s="17">
        <v>0</v>
      </c>
      <c r="E145" s="17">
        <v>5</v>
      </c>
      <c r="F145" s="17">
        <v>5</v>
      </c>
      <c r="G145" s="17">
        <f t="shared" si="8"/>
        <v>0</v>
      </c>
      <c r="H145" s="17">
        <f t="shared" si="9"/>
        <v>50</v>
      </c>
      <c r="I145" s="17">
        <f t="shared" si="10"/>
        <v>50</v>
      </c>
      <c r="J145" s="17">
        <f t="shared" si="11"/>
        <v>10</v>
      </c>
    </row>
    <row r="146" spans="1:10">
      <c r="A146" s="17" t="s">
        <v>758</v>
      </c>
      <c r="B146" s="17" t="s">
        <v>742</v>
      </c>
      <c r="C146" s="17" t="s">
        <v>875</v>
      </c>
      <c r="D146" s="17">
        <v>0</v>
      </c>
      <c r="E146" s="17">
        <v>2</v>
      </c>
      <c r="F146" s="17">
        <v>2</v>
      </c>
      <c r="G146" s="17">
        <f t="shared" si="8"/>
        <v>0</v>
      </c>
      <c r="H146" s="17">
        <f t="shared" si="9"/>
        <v>50</v>
      </c>
      <c r="I146" s="17">
        <f t="shared" si="10"/>
        <v>50</v>
      </c>
      <c r="J146" s="17">
        <f t="shared" si="11"/>
        <v>4</v>
      </c>
    </row>
    <row r="147" spans="1:10">
      <c r="A147" s="17" t="s">
        <v>759</v>
      </c>
      <c r="B147" s="17" t="s">
        <v>742</v>
      </c>
      <c r="C147" s="17" t="s">
        <v>875</v>
      </c>
      <c r="D147" s="17">
        <v>0</v>
      </c>
      <c r="E147" s="17">
        <v>2</v>
      </c>
      <c r="F147" s="17">
        <v>5</v>
      </c>
      <c r="G147" s="17">
        <f t="shared" si="8"/>
        <v>0</v>
      </c>
      <c r="H147" s="17">
        <f t="shared" si="9"/>
        <v>28.571428571428569</v>
      </c>
      <c r="I147" s="17">
        <f t="shared" si="10"/>
        <v>71.428571428571431</v>
      </c>
      <c r="J147" s="17">
        <f t="shared" si="11"/>
        <v>7</v>
      </c>
    </row>
    <row r="148" spans="1:10">
      <c r="A148" s="17" t="s">
        <v>760</v>
      </c>
      <c r="B148" s="17" t="s">
        <v>742</v>
      </c>
      <c r="C148" s="17" t="s">
        <v>875</v>
      </c>
      <c r="D148" s="17">
        <v>0</v>
      </c>
      <c r="E148" s="17">
        <v>5</v>
      </c>
      <c r="F148" s="17">
        <v>2</v>
      </c>
      <c r="G148" s="17">
        <f t="shared" si="8"/>
        <v>0</v>
      </c>
      <c r="H148" s="17">
        <f t="shared" si="9"/>
        <v>71.428571428571431</v>
      </c>
      <c r="I148" s="17">
        <f t="shared" si="10"/>
        <v>28.571428571428569</v>
      </c>
      <c r="J148" s="17">
        <f t="shared" si="11"/>
        <v>7</v>
      </c>
    </row>
    <row r="149" spans="1:10">
      <c r="A149" s="17" t="s">
        <v>761</v>
      </c>
      <c r="B149" s="17" t="s">
        <v>742</v>
      </c>
      <c r="C149" s="17" t="s">
        <v>875</v>
      </c>
      <c r="D149" s="17">
        <v>0</v>
      </c>
      <c r="E149" s="17">
        <v>3</v>
      </c>
      <c r="F149" s="17">
        <v>4</v>
      </c>
      <c r="G149" s="17">
        <f t="shared" si="8"/>
        <v>0</v>
      </c>
      <c r="H149" s="17">
        <f t="shared" si="9"/>
        <v>42.857142857142854</v>
      </c>
      <c r="I149" s="17">
        <f t="shared" si="10"/>
        <v>57.142857142857139</v>
      </c>
      <c r="J149" s="17">
        <f t="shared" si="11"/>
        <v>7</v>
      </c>
    </row>
    <row r="150" spans="1:10">
      <c r="A150" s="17" t="s">
        <v>762</v>
      </c>
      <c r="B150" s="17" t="s">
        <v>742</v>
      </c>
      <c r="C150" s="17" t="s">
        <v>875</v>
      </c>
      <c r="D150" s="17">
        <v>0</v>
      </c>
      <c r="E150" s="17">
        <v>2</v>
      </c>
      <c r="F150" s="17">
        <v>3</v>
      </c>
      <c r="G150" s="17">
        <f t="shared" si="8"/>
        <v>0</v>
      </c>
      <c r="H150" s="17">
        <f t="shared" si="9"/>
        <v>40</v>
      </c>
      <c r="I150" s="17">
        <f t="shared" si="10"/>
        <v>60</v>
      </c>
      <c r="J150" s="17">
        <f t="shared" si="11"/>
        <v>5</v>
      </c>
    </row>
    <row r="151" spans="1:10">
      <c r="A151" s="17" t="s">
        <v>763</v>
      </c>
      <c r="B151" s="17" t="s">
        <v>742</v>
      </c>
      <c r="C151" s="17" t="s">
        <v>875</v>
      </c>
      <c r="D151" s="17">
        <v>0</v>
      </c>
      <c r="E151" s="17">
        <v>3</v>
      </c>
      <c r="F151" s="17">
        <v>3</v>
      </c>
      <c r="G151" s="17">
        <f t="shared" si="8"/>
        <v>0</v>
      </c>
      <c r="H151" s="17">
        <f t="shared" si="9"/>
        <v>50</v>
      </c>
      <c r="I151" s="17">
        <f t="shared" si="10"/>
        <v>50</v>
      </c>
      <c r="J151" s="17">
        <f t="shared" si="11"/>
        <v>6</v>
      </c>
    </row>
    <row r="152" spans="1:10">
      <c r="A152" s="17" t="s">
        <v>764</v>
      </c>
      <c r="B152" s="17" t="s">
        <v>742</v>
      </c>
      <c r="C152" s="17" t="s">
        <v>875</v>
      </c>
      <c r="D152" s="17">
        <v>0</v>
      </c>
      <c r="E152" s="17">
        <v>5</v>
      </c>
      <c r="F152" s="17">
        <v>3</v>
      </c>
      <c r="G152" s="17">
        <f t="shared" si="8"/>
        <v>0</v>
      </c>
      <c r="H152" s="17">
        <f t="shared" si="9"/>
        <v>62.5</v>
      </c>
      <c r="I152" s="17">
        <f t="shared" si="10"/>
        <v>37.5</v>
      </c>
      <c r="J152" s="17">
        <f t="shared" si="11"/>
        <v>8</v>
      </c>
    </row>
    <row r="153" spans="1:10">
      <c r="A153" s="17" t="s">
        <v>765</v>
      </c>
      <c r="B153" s="17" t="s">
        <v>742</v>
      </c>
      <c r="C153" s="17" t="s">
        <v>875</v>
      </c>
      <c r="D153" s="17">
        <v>0</v>
      </c>
      <c r="E153" s="17">
        <v>3</v>
      </c>
      <c r="F153" s="17">
        <v>4</v>
      </c>
      <c r="G153" s="17">
        <f t="shared" si="8"/>
        <v>0</v>
      </c>
      <c r="H153" s="17">
        <f t="shared" si="9"/>
        <v>42.857142857142854</v>
      </c>
      <c r="I153" s="17">
        <f t="shared" si="10"/>
        <v>57.142857142857139</v>
      </c>
      <c r="J153" s="17">
        <f t="shared" si="11"/>
        <v>7</v>
      </c>
    </row>
    <row r="154" spans="1:10">
      <c r="A154" s="17" t="s">
        <v>766</v>
      </c>
      <c r="B154" s="17" t="s">
        <v>742</v>
      </c>
      <c r="C154" s="17" t="s">
        <v>875</v>
      </c>
      <c r="D154" s="17">
        <v>0</v>
      </c>
      <c r="E154" s="17">
        <v>5</v>
      </c>
      <c r="F154" s="17">
        <v>1</v>
      </c>
      <c r="G154" s="17">
        <f t="shared" si="8"/>
        <v>0</v>
      </c>
      <c r="H154" s="17">
        <f t="shared" si="9"/>
        <v>83.333333333333343</v>
      </c>
      <c r="I154" s="17">
        <f t="shared" si="10"/>
        <v>16.666666666666664</v>
      </c>
      <c r="J154" s="17">
        <f t="shared" si="11"/>
        <v>6</v>
      </c>
    </row>
    <row r="155" spans="1:10">
      <c r="A155" s="17" t="s">
        <v>767</v>
      </c>
      <c r="B155" s="17" t="s">
        <v>742</v>
      </c>
      <c r="C155" s="17" t="s">
        <v>875</v>
      </c>
      <c r="D155" s="17">
        <v>0</v>
      </c>
      <c r="E155" s="17">
        <v>4</v>
      </c>
      <c r="F155" s="17">
        <v>5</v>
      </c>
      <c r="G155" s="17">
        <f t="shared" si="8"/>
        <v>0</v>
      </c>
      <c r="H155" s="17">
        <f t="shared" si="9"/>
        <v>44.444444444444443</v>
      </c>
      <c r="I155" s="17">
        <f t="shared" si="10"/>
        <v>55.555555555555557</v>
      </c>
      <c r="J155" s="17">
        <f t="shared" si="11"/>
        <v>9</v>
      </c>
    </row>
    <row r="156" spans="1:10">
      <c r="A156" s="17" t="s">
        <v>768</v>
      </c>
      <c r="B156" s="17" t="s">
        <v>742</v>
      </c>
      <c r="C156" s="17" t="s">
        <v>875</v>
      </c>
      <c r="D156" s="17">
        <v>0</v>
      </c>
      <c r="E156" s="17">
        <v>3</v>
      </c>
      <c r="F156" s="17">
        <v>5</v>
      </c>
      <c r="G156" s="17">
        <f t="shared" si="8"/>
        <v>0</v>
      </c>
      <c r="H156" s="17">
        <f t="shared" si="9"/>
        <v>37.5</v>
      </c>
      <c r="I156" s="17">
        <f t="shared" si="10"/>
        <v>62.5</v>
      </c>
      <c r="J156" s="17">
        <f t="shared" si="11"/>
        <v>8</v>
      </c>
    </row>
    <row r="157" spans="1:10">
      <c r="A157" s="17" t="s">
        <v>769</v>
      </c>
      <c r="B157" s="17" t="s">
        <v>742</v>
      </c>
      <c r="C157" s="17" t="s">
        <v>875</v>
      </c>
      <c r="D157" s="17">
        <v>0</v>
      </c>
      <c r="E157" s="17">
        <v>4</v>
      </c>
      <c r="F157" s="17">
        <v>4</v>
      </c>
      <c r="G157" s="17">
        <f t="shared" si="8"/>
        <v>0</v>
      </c>
      <c r="H157" s="17">
        <f t="shared" si="9"/>
        <v>50</v>
      </c>
      <c r="I157" s="17">
        <f t="shared" si="10"/>
        <v>50</v>
      </c>
      <c r="J157" s="17">
        <f t="shared" si="11"/>
        <v>8</v>
      </c>
    </row>
    <row r="158" spans="1:10">
      <c r="A158" s="17" t="s">
        <v>770</v>
      </c>
      <c r="B158" s="17" t="s">
        <v>742</v>
      </c>
      <c r="C158" s="17" t="s">
        <v>875</v>
      </c>
      <c r="D158" s="17">
        <v>0</v>
      </c>
      <c r="E158" s="17">
        <v>4</v>
      </c>
      <c r="F158" s="17">
        <v>6</v>
      </c>
      <c r="G158" s="17">
        <f t="shared" si="8"/>
        <v>0</v>
      </c>
      <c r="H158" s="17">
        <f t="shared" si="9"/>
        <v>40</v>
      </c>
      <c r="I158" s="17">
        <f t="shared" si="10"/>
        <v>60</v>
      </c>
      <c r="J158" s="17">
        <f t="shared" si="11"/>
        <v>10</v>
      </c>
    </row>
    <row r="159" spans="1:10">
      <c r="A159" s="17" t="s">
        <v>771</v>
      </c>
      <c r="B159" s="17" t="s">
        <v>742</v>
      </c>
      <c r="C159" s="17" t="s">
        <v>875</v>
      </c>
      <c r="D159" s="17">
        <v>0</v>
      </c>
      <c r="E159" s="17">
        <v>11</v>
      </c>
      <c r="F159" s="17">
        <v>4</v>
      </c>
      <c r="G159" s="17">
        <f t="shared" si="8"/>
        <v>0</v>
      </c>
      <c r="H159" s="17">
        <f t="shared" si="9"/>
        <v>73.333333333333329</v>
      </c>
      <c r="I159" s="17">
        <f t="shared" si="10"/>
        <v>26.666666666666668</v>
      </c>
      <c r="J159" s="17">
        <f t="shared" si="11"/>
        <v>15</v>
      </c>
    </row>
    <row r="160" spans="1:10">
      <c r="A160" s="17" t="s">
        <v>772</v>
      </c>
      <c r="B160" s="17" t="s">
        <v>742</v>
      </c>
      <c r="C160" s="17" t="s">
        <v>875</v>
      </c>
      <c r="D160" s="17">
        <v>0</v>
      </c>
      <c r="E160" s="17">
        <v>7</v>
      </c>
      <c r="F160" s="17">
        <v>1</v>
      </c>
      <c r="G160" s="17">
        <f t="shared" si="8"/>
        <v>0</v>
      </c>
      <c r="H160" s="17">
        <f t="shared" si="9"/>
        <v>87.5</v>
      </c>
      <c r="I160" s="17">
        <f t="shared" si="10"/>
        <v>12.5</v>
      </c>
      <c r="J160" s="17">
        <f t="shared" si="11"/>
        <v>8</v>
      </c>
    </row>
    <row r="161" spans="1:10">
      <c r="A161" s="17" t="s">
        <v>773</v>
      </c>
      <c r="B161" s="17" t="s">
        <v>742</v>
      </c>
      <c r="C161" s="17" t="s">
        <v>875</v>
      </c>
      <c r="D161" s="17">
        <v>0</v>
      </c>
      <c r="E161" s="17">
        <v>4</v>
      </c>
      <c r="F161" s="17">
        <v>4</v>
      </c>
      <c r="G161" s="17">
        <f t="shared" si="8"/>
        <v>0</v>
      </c>
      <c r="H161" s="17">
        <f t="shared" si="9"/>
        <v>50</v>
      </c>
      <c r="I161" s="17">
        <f t="shared" si="10"/>
        <v>50</v>
      </c>
      <c r="J161" s="17">
        <f t="shared" si="11"/>
        <v>8</v>
      </c>
    </row>
    <row r="162" spans="1:10">
      <c r="A162" s="17" t="s">
        <v>774</v>
      </c>
      <c r="B162" s="17" t="s">
        <v>742</v>
      </c>
      <c r="C162" s="17" t="s">
        <v>875</v>
      </c>
      <c r="D162" s="17">
        <v>0</v>
      </c>
      <c r="E162" s="17">
        <v>2</v>
      </c>
      <c r="F162" s="17">
        <v>6</v>
      </c>
      <c r="G162" s="17">
        <f t="shared" si="8"/>
        <v>0</v>
      </c>
      <c r="H162" s="17">
        <f t="shared" si="9"/>
        <v>25</v>
      </c>
      <c r="I162" s="17">
        <f t="shared" si="10"/>
        <v>75</v>
      </c>
      <c r="J162" s="17">
        <f t="shared" si="11"/>
        <v>8</v>
      </c>
    </row>
    <row r="163" spans="1:10">
      <c r="A163" s="17" t="s">
        <v>775</v>
      </c>
      <c r="B163" s="17" t="s">
        <v>742</v>
      </c>
      <c r="C163" s="17" t="s">
        <v>875</v>
      </c>
      <c r="D163" s="17">
        <v>0</v>
      </c>
      <c r="E163" s="17">
        <v>5</v>
      </c>
      <c r="F163" s="17">
        <v>8</v>
      </c>
      <c r="G163" s="17">
        <f t="shared" si="8"/>
        <v>0</v>
      </c>
      <c r="H163" s="17">
        <f t="shared" si="9"/>
        <v>38.461538461538467</v>
      </c>
      <c r="I163" s="17">
        <f t="shared" si="10"/>
        <v>61.53846153846154</v>
      </c>
      <c r="J163" s="17">
        <f t="shared" si="11"/>
        <v>13</v>
      </c>
    </row>
    <row r="164" spans="1:10">
      <c r="A164" s="17" t="s">
        <v>776</v>
      </c>
      <c r="B164" s="17" t="s">
        <v>742</v>
      </c>
      <c r="C164" s="17" t="s">
        <v>875</v>
      </c>
      <c r="D164" s="17">
        <v>0</v>
      </c>
      <c r="E164" s="17">
        <v>4</v>
      </c>
      <c r="F164" s="17">
        <v>7</v>
      </c>
      <c r="G164" s="17">
        <f t="shared" si="8"/>
        <v>0</v>
      </c>
      <c r="H164" s="17">
        <f t="shared" si="9"/>
        <v>36.363636363636367</v>
      </c>
      <c r="I164" s="17">
        <f t="shared" si="10"/>
        <v>63.636363636363633</v>
      </c>
      <c r="J164" s="17">
        <f t="shared" si="11"/>
        <v>11</v>
      </c>
    </row>
    <row r="165" spans="1:10">
      <c r="A165" s="17" t="s">
        <v>777</v>
      </c>
      <c r="B165" s="17" t="s">
        <v>742</v>
      </c>
      <c r="C165" s="17" t="s">
        <v>875</v>
      </c>
      <c r="D165" s="17">
        <v>0</v>
      </c>
      <c r="E165" s="17">
        <v>6</v>
      </c>
      <c r="F165" s="17">
        <v>1</v>
      </c>
      <c r="G165" s="17">
        <f t="shared" si="8"/>
        <v>0</v>
      </c>
      <c r="H165" s="17">
        <f t="shared" si="9"/>
        <v>85.714285714285708</v>
      </c>
      <c r="I165" s="17">
        <f t="shared" si="10"/>
        <v>14.285714285714285</v>
      </c>
      <c r="J165" s="17">
        <f t="shared" si="11"/>
        <v>7</v>
      </c>
    </row>
    <row r="166" spans="1:10">
      <c r="A166" s="17" t="s">
        <v>778</v>
      </c>
      <c r="B166" s="17" t="s">
        <v>742</v>
      </c>
      <c r="C166" s="17" t="s">
        <v>875</v>
      </c>
      <c r="D166" s="17">
        <v>0</v>
      </c>
      <c r="E166" s="17">
        <v>3</v>
      </c>
      <c r="F166" s="17">
        <v>3</v>
      </c>
      <c r="G166" s="17">
        <f t="shared" si="8"/>
        <v>0</v>
      </c>
      <c r="H166" s="17">
        <f t="shared" si="9"/>
        <v>50</v>
      </c>
      <c r="I166" s="17">
        <f t="shared" si="10"/>
        <v>50</v>
      </c>
      <c r="J166" s="17">
        <f t="shared" si="11"/>
        <v>6</v>
      </c>
    </row>
    <row r="167" spans="1:10">
      <c r="A167" s="17" t="s">
        <v>779</v>
      </c>
      <c r="B167" s="17" t="s">
        <v>742</v>
      </c>
      <c r="C167" s="17" t="s">
        <v>875</v>
      </c>
      <c r="D167" s="17">
        <v>0</v>
      </c>
      <c r="E167" s="17">
        <v>6</v>
      </c>
      <c r="F167" s="17">
        <v>3</v>
      </c>
      <c r="G167" s="17">
        <f t="shared" si="8"/>
        <v>0</v>
      </c>
      <c r="H167" s="17">
        <f t="shared" si="9"/>
        <v>66.666666666666657</v>
      </c>
      <c r="I167" s="17">
        <f t="shared" si="10"/>
        <v>33.333333333333329</v>
      </c>
      <c r="J167" s="17">
        <f t="shared" si="11"/>
        <v>9</v>
      </c>
    </row>
    <row r="168" spans="1:10">
      <c r="A168" s="17" t="s">
        <v>780</v>
      </c>
      <c r="B168" s="17" t="s">
        <v>742</v>
      </c>
      <c r="C168" s="17" t="s">
        <v>875</v>
      </c>
      <c r="D168" s="17">
        <v>0</v>
      </c>
      <c r="E168" s="17">
        <v>3</v>
      </c>
      <c r="F168" s="17">
        <v>4</v>
      </c>
      <c r="G168" s="17">
        <f t="shared" si="8"/>
        <v>0</v>
      </c>
      <c r="H168" s="17">
        <f t="shared" si="9"/>
        <v>42.857142857142854</v>
      </c>
      <c r="I168" s="17">
        <f t="shared" si="10"/>
        <v>57.142857142857139</v>
      </c>
      <c r="J168" s="17">
        <f t="shared" si="11"/>
        <v>7</v>
      </c>
    </row>
    <row r="169" spans="1:10">
      <c r="A169" s="17" t="s">
        <v>781</v>
      </c>
      <c r="B169" s="17" t="s">
        <v>742</v>
      </c>
      <c r="C169" s="17" t="s">
        <v>875</v>
      </c>
      <c r="D169" s="17">
        <v>0</v>
      </c>
      <c r="E169" s="17">
        <v>2</v>
      </c>
      <c r="F169" s="17">
        <v>3</v>
      </c>
      <c r="G169" s="17">
        <f t="shared" si="8"/>
        <v>0</v>
      </c>
      <c r="H169" s="17">
        <f t="shared" si="9"/>
        <v>40</v>
      </c>
      <c r="I169" s="17">
        <f t="shared" si="10"/>
        <v>60</v>
      </c>
      <c r="J169" s="17">
        <f t="shared" si="11"/>
        <v>5</v>
      </c>
    </row>
    <row r="170" spans="1:10">
      <c r="A170" s="17" t="s">
        <v>782</v>
      </c>
      <c r="B170" s="17" t="s">
        <v>742</v>
      </c>
      <c r="C170" s="17" t="s">
        <v>875</v>
      </c>
      <c r="D170" s="17">
        <v>0</v>
      </c>
      <c r="E170" s="17">
        <v>6</v>
      </c>
      <c r="F170" s="17">
        <v>3</v>
      </c>
      <c r="G170" s="17">
        <f t="shared" si="8"/>
        <v>0</v>
      </c>
      <c r="H170" s="17">
        <f t="shared" si="9"/>
        <v>66.666666666666657</v>
      </c>
      <c r="I170" s="17">
        <f t="shared" si="10"/>
        <v>33.333333333333329</v>
      </c>
      <c r="J170" s="17">
        <f t="shared" si="11"/>
        <v>9</v>
      </c>
    </row>
    <row r="171" spans="1:10">
      <c r="A171" s="17" t="s">
        <v>783</v>
      </c>
      <c r="B171" s="17" t="s">
        <v>742</v>
      </c>
      <c r="C171" s="17" t="s">
        <v>875</v>
      </c>
      <c r="D171" s="17">
        <v>0</v>
      </c>
      <c r="E171" s="17">
        <v>3</v>
      </c>
      <c r="F171" s="17">
        <v>3</v>
      </c>
      <c r="G171" s="17">
        <f t="shared" si="8"/>
        <v>0</v>
      </c>
      <c r="H171" s="17">
        <f t="shared" si="9"/>
        <v>50</v>
      </c>
      <c r="I171" s="17">
        <f t="shared" si="10"/>
        <v>50</v>
      </c>
      <c r="J171" s="17">
        <f t="shared" si="11"/>
        <v>6</v>
      </c>
    </row>
    <row r="172" spans="1:10">
      <c r="A172" s="17" t="s">
        <v>784</v>
      </c>
      <c r="B172" s="17" t="s">
        <v>742</v>
      </c>
      <c r="C172" s="17" t="s">
        <v>875</v>
      </c>
      <c r="D172" s="17">
        <v>0</v>
      </c>
      <c r="E172" s="17">
        <v>5</v>
      </c>
      <c r="F172" s="17">
        <v>2</v>
      </c>
      <c r="G172" s="17">
        <f t="shared" si="8"/>
        <v>0</v>
      </c>
      <c r="H172" s="17">
        <f t="shared" si="9"/>
        <v>71.428571428571431</v>
      </c>
      <c r="I172" s="17">
        <f t="shared" si="10"/>
        <v>28.571428571428569</v>
      </c>
      <c r="J172" s="17">
        <f t="shared" si="11"/>
        <v>7</v>
      </c>
    </row>
    <row r="173" spans="1:10">
      <c r="A173" s="17" t="s">
        <v>785</v>
      </c>
      <c r="B173" s="17" t="s">
        <v>742</v>
      </c>
      <c r="C173" s="17" t="s">
        <v>875</v>
      </c>
      <c r="D173" s="17">
        <v>0</v>
      </c>
      <c r="E173" s="17">
        <v>5</v>
      </c>
      <c r="F173" s="17">
        <v>3</v>
      </c>
      <c r="G173" s="17">
        <f t="shared" si="8"/>
        <v>0</v>
      </c>
      <c r="H173" s="17">
        <f t="shared" si="9"/>
        <v>62.5</v>
      </c>
      <c r="I173" s="17">
        <f t="shared" si="10"/>
        <v>37.5</v>
      </c>
      <c r="J173" s="17">
        <f t="shared" si="11"/>
        <v>8</v>
      </c>
    </row>
    <row r="174" spans="1:10">
      <c r="A174" s="17" t="s">
        <v>786</v>
      </c>
      <c r="B174" s="17" t="s">
        <v>742</v>
      </c>
      <c r="C174" s="17" t="s">
        <v>875</v>
      </c>
      <c r="D174" s="17">
        <v>0</v>
      </c>
      <c r="E174" s="17">
        <v>8</v>
      </c>
      <c r="F174" s="17">
        <v>3</v>
      </c>
      <c r="G174" s="17">
        <f t="shared" si="8"/>
        <v>0</v>
      </c>
      <c r="H174" s="17">
        <f t="shared" si="9"/>
        <v>72.727272727272734</v>
      </c>
      <c r="I174" s="17">
        <f t="shared" si="10"/>
        <v>27.27272727272727</v>
      </c>
      <c r="J174" s="17">
        <f t="shared" si="11"/>
        <v>11</v>
      </c>
    </row>
    <row r="175" spans="1:10">
      <c r="A175" s="17" t="s">
        <v>787</v>
      </c>
      <c r="B175" s="17" t="s">
        <v>742</v>
      </c>
      <c r="C175" s="17" t="s">
        <v>875</v>
      </c>
      <c r="D175" s="17">
        <v>0</v>
      </c>
      <c r="E175" s="17">
        <v>4</v>
      </c>
      <c r="F175" s="17">
        <v>4</v>
      </c>
      <c r="G175" s="17">
        <f t="shared" si="8"/>
        <v>0</v>
      </c>
      <c r="H175" s="17">
        <f t="shared" si="9"/>
        <v>50</v>
      </c>
      <c r="I175" s="17">
        <f t="shared" si="10"/>
        <v>50</v>
      </c>
      <c r="J175" s="17">
        <f t="shared" si="11"/>
        <v>8</v>
      </c>
    </row>
    <row r="176" spans="1:10">
      <c r="A176" s="17" t="s">
        <v>788</v>
      </c>
      <c r="B176" s="17" t="s">
        <v>742</v>
      </c>
      <c r="C176" s="17" t="s">
        <v>875</v>
      </c>
      <c r="D176" s="17">
        <v>0</v>
      </c>
      <c r="E176" s="17">
        <v>3</v>
      </c>
      <c r="F176" s="17">
        <v>3</v>
      </c>
      <c r="G176" s="17">
        <f t="shared" si="8"/>
        <v>0</v>
      </c>
      <c r="H176" s="17">
        <f t="shared" si="9"/>
        <v>50</v>
      </c>
      <c r="I176" s="17">
        <f t="shared" si="10"/>
        <v>50</v>
      </c>
      <c r="J176" s="17">
        <f t="shared" si="11"/>
        <v>6</v>
      </c>
    </row>
    <row r="177" spans="1:10">
      <c r="A177" s="17" t="s">
        <v>789</v>
      </c>
      <c r="B177" s="17" t="s">
        <v>742</v>
      </c>
      <c r="C177" s="17" t="s">
        <v>875</v>
      </c>
      <c r="D177" s="17">
        <v>0</v>
      </c>
      <c r="E177" s="17">
        <v>6</v>
      </c>
      <c r="F177" s="17">
        <v>2</v>
      </c>
      <c r="G177" s="17">
        <f t="shared" si="8"/>
        <v>0</v>
      </c>
      <c r="H177" s="17">
        <f t="shared" si="9"/>
        <v>75</v>
      </c>
      <c r="I177" s="17">
        <f t="shared" si="10"/>
        <v>25</v>
      </c>
      <c r="J177" s="17">
        <f t="shared" si="11"/>
        <v>8</v>
      </c>
    </row>
    <row r="178" spans="1:10">
      <c r="A178" s="17" t="s">
        <v>790</v>
      </c>
      <c r="B178" s="17" t="s">
        <v>742</v>
      </c>
      <c r="C178" s="17" t="s">
        <v>875</v>
      </c>
      <c r="D178" s="17">
        <v>0</v>
      </c>
      <c r="E178" s="17">
        <v>7</v>
      </c>
      <c r="F178" s="17">
        <v>2</v>
      </c>
      <c r="G178" s="17">
        <f t="shared" si="8"/>
        <v>0</v>
      </c>
      <c r="H178" s="17">
        <f t="shared" si="9"/>
        <v>77.777777777777786</v>
      </c>
      <c r="I178" s="17">
        <f t="shared" si="10"/>
        <v>22.222222222222221</v>
      </c>
      <c r="J178" s="17">
        <f t="shared" si="11"/>
        <v>9</v>
      </c>
    </row>
    <row r="179" spans="1:10">
      <c r="A179" s="17" t="s">
        <v>791</v>
      </c>
      <c r="B179" s="17" t="s">
        <v>742</v>
      </c>
      <c r="C179" s="17" t="s">
        <v>875</v>
      </c>
      <c r="D179" s="17">
        <v>0</v>
      </c>
      <c r="E179" s="17">
        <v>2</v>
      </c>
      <c r="F179" s="17">
        <v>8</v>
      </c>
      <c r="G179" s="17">
        <f t="shared" si="8"/>
        <v>0</v>
      </c>
      <c r="H179" s="17">
        <f t="shared" si="9"/>
        <v>20</v>
      </c>
      <c r="I179" s="17">
        <f t="shared" si="10"/>
        <v>80</v>
      </c>
      <c r="J179" s="17">
        <f t="shared" si="11"/>
        <v>10</v>
      </c>
    </row>
    <row r="180" spans="1:10">
      <c r="A180" s="16" t="s">
        <v>807</v>
      </c>
      <c r="B180" s="42"/>
      <c r="C180" s="43"/>
      <c r="D180" s="42"/>
      <c r="E180" s="43"/>
      <c r="F180" s="13" t="s">
        <v>22</v>
      </c>
      <c r="G180" s="20">
        <f>AVERAGE(G143:G179)</f>
        <v>0</v>
      </c>
      <c r="H180" s="20">
        <f>AVERAGE(H143:H179)</f>
        <v>53.498063498063509</v>
      </c>
      <c r="I180" s="20">
        <f>AVERAGE(I143:I179)</f>
        <v>46.501936501936491</v>
      </c>
      <c r="J180" s="21" t="s">
        <v>492</v>
      </c>
    </row>
    <row r="181" spans="1:10">
      <c r="A181" s="35"/>
      <c r="B181" s="26"/>
      <c r="C181" s="35"/>
      <c r="D181" s="26"/>
      <c r="E181" s="35"/>
      <c r="F181" s="13" t="s">
        <v>570</v>
      </c>
      <c r="G181" s="29">
        <f>STDEV(G143:G179)</f>
        <v>0</v>
      </c>
      <c r="H181" s="29">
        <f>STDEV(H143:H179)</f>
        <v>17.7340509316418</v>
      </c>
      <c r="I181" s="29">
        <f>STDEV(I143:I179)</f>
        <v>17.734050931641857</v>
      </c>
      <c r="J181" s="15">
        <f>SUM(J143:J179)</f>
        <v>298</v>
      </c>
    </row>
    <row r="185" spans="1:10">
      <c r="A185" s="17" t="s">
        <v>740</v>
      </c>
      <c r="B185" s="17" t="s">
        <v>742</v>
      </c>
      <c r="C185" s="17" t="s">
        <v>877</v>
      </c>
      <c r="D185" s="17">
        <v>0</v>
      </c>
      <c r="E185" s="17">
        <v>9</v>
      </c>
      <c r="F185" s="17">
        <v>6</v>
      </c>
      <c r="G185" s="17">
        <f t="shared" ref="G185:G204" si="12">D185/SUM(E185:F185)*100</f>
        <v>0</v>
      </c>
      <c r="H185" s="17">
        <f t="shared" ref="H185:H204" si="13">E185/SUM(E185:F185)*100</f>
        <v>60</v>
      </c>
      <c r="I185" s="17">
        <f t="shared" ref="I185:I204" si="14">F185/SUM(E185:F185)*100</f>
        <v>40</v>
      </c>
      <c r="J185" s="17">
        <f t="shared" ref="J185:J204" si="15">SUM(D185:F185)</f>
        <v>15</v>
      </c>
    </row>
    <row r="186" spans="1:10">
      <c r="A186" s="17" t="s">
        <v>740</v>
      </c>
      <c r="B186" s="17" t="s">
        <v>742</v>
      </c>
      <c r="C186" s="17" t="s">
        <v>877</v>
      </c>
      <c r="D186" s="17">
        <v>0</v>
      </c>
      <c r="E186" s="17">
        <v>8</v>
      </c>
      <c r="F186" s="17">
        <v>0</v>
      </c>
      <c r="G186" s="17">
        <f t="shared" si="12"/>
        <v>0</v>
      </c>
      <c r="H186" s="17">
        <f t="shared" si="13"/>
        <v>100</v>
      </c>
      <c r="I186" s="17">
        <f t="shared" si="14"/>
        <v>0</v>
      </c>
      <c r="J186" s="17">
        <f t="shared" si="15"/>
        <v>8</v>
      </c>
    </row>
    <row r="187" spans="1:10">
      <c r="A187" s="17" t="s">
        <v>740</v>
      </c>
      <c r="B187" s="17" t="s">
        <v>742</v>
      </c>
      <c r="C187" s="17" t="s">
        <v>877</v>
      </c>
      <c r="D187" s="17">
        <v>0</v>
      </c>
      <c r="E187" s="17">
        <v>9</v>
      </c>
      <c r="F187" s="17">
        <v>1</v>
      </c>
      <c r="G187" s="17">
        <f t="shared" si="12"/>
        <v>0</v>
      </c>
      <c r="H187" s="17">
        <f t="shared" si="13"/>
        <v>90</v>
      </c>
      <c r="I187" s="17">
        <f t="shared" si="14"/>
        <v>10</v>
      </c>
      <c r="J187" s="17">
        <f t="shared" si="15"/>
        <v>10</v>
      </c>
    </row>
    <row r="188" spans="1:10">
      <c r="A188" s="17" t="s">
        <v>740</v>
      </c>
      <c r="B188" s="17" t="s">
        <v>742</v>
      </c>
      <c r="C188" s="17" t="s">
        <v>877</v>
      </c>
      <c r="D188" s="17">
        <v>0</v>
      </c>
      <c r="E188" s="17">
        <v>5</v>
      </c>
      <c r="F188" s="17">
        <v>1</v>
      </c>
      <c r="G188" s="17">
        <f t="shared" si="12"/>
        <v>0</v>
      </c>
      <c r="H188" s="17">
        <f t="shared" si="13"/>
        <v>83.333333333333343</v>
      </c>
      <c r="I188" s="17">
        <f t="shared" si="14"/>
        <v>16.666666666666664</v>
      </c>
      <c r="J188" s="17">
        <f t="shared" si="15"/>
        <v>6</v>
      </c>
    </row>
    <row r="189" spans="1:10">
      <c r="A189" s="17" t="s">
        <v>740</v>
      </c>
      <c r="B189" s="17" t="s">
        <v>742</v>
      </c>
      <c r="C189" s="17" t="s">
        <v>877</v>
      </c>
      <c r="D189" s="17">
        <v>0</v>
      </c>
      <c r="E189" s="17">
        <v>5</v>
      </c>
      <c r="F189" s="17">
        <v>1</v>
      </c>
      <c r="G189" s="17">
        <f t="shared" si="12"/>
        <v>0</v>
      </c>
      <c r="H189" s="17">
        <f t="shared" si="13"/>
        <v>83.333333333333343</v>
      </c>
      <c r="I189" s="17">
        <f t="shared" si="14"/>
        <v>16.666666666666664</v>
      </c>
      <c r="J189" s="17">
        <f t="shared" si="15"/>
        <v>6</v>
      </c>
    </row>
    <row r="190" spans="1:10">
      <c r="A190" s="17" t="s">
        <v>741</v>
      </c>
      <c r="B190" s="17" t="s">
        <v>742</v>
      </c>
      <c r="C190" s="17" t="s">
        <v>877</v>
      </c>
      <c r="D190" s="17">
        <v>0</v>
      </c>
      <c r="E190" s="17">
        <v>8</v>
      </c>
      <c r="F190" s="17">
        <v>3</v>
      </c>
      <c r="G190" s="17">
        <f t="shared" si="12"/>
        <v>0</v>
      </c>
      <c r="H190" s="17">
        <f t="shared" si="13"/>
        <v>72.727272727272734</v>
      </c>
      <c r="I190" s="17">
        <f t="shared" si="14"/>
        <v>27.27272727272727</v>
      </c>
      <c r="J190" s="17">
        <f t="shared" si="15"/>
        <v>11</v>
      </c>
    </row>
    <row r="191" spans="1:10">
      <c r="A191" s="17" t="s">
        <v>741</v>
      </c>
      <c r="B191" s="17" t="s">
        <v>742</v>
      </c>
      <c r="C191" s="17" t="s">
        <v>877</v>
      </c>
      <c r="D191" s="17">
        <v>0</v>
      </c>
      <c r="E191" s="17">
        <v>8</v>
      </c>
      <c r="F191" s="17">
        <v>4</v>
      </c>
      <c r="G191" s="17">
        <f t="shared" si="12"/>
        <v>0</v>
      </c>
      <c r="H191" s="17">
        <f t="shared" si="13"/>
        <v>66.666666666666657</v>
      </c>
      <c r="I191" s="17">
        <f t="shared" si="14"/>
        <v>33.333333333333329</v>
      </c>
      <c r="J191" s="17">
        <f t="shared" si="15"/>
        <v>12</v>
      </c>
    </row>
    <row r="192" spans="1:10">
      <c r="A192" s="17" t="s">
        <v>741</v>
      </c>
      <c r="B192" s="17" t="s">
        <v>742</v>
      </c>
      <c r="C192" s="17" t="s">
        <v>877</v>
      </c>
      <c r="D192" s="17">
        <v>0</v>
      </c>
      <c r="E192" s="17">
        <v>7</v>
      </c>
      <c r="F192" s="17">
        <v>5</v>
      </c>
      <c r="G192" s="17">
        <f t="shared" si="12"/>
        <v>0</v>
      </c>
      <c r="H192" s="17">
        <f t="shared" si="13"/>
        <v>58.333333333333336</v>
      </c>
      <c r="I192" s="17">
        <f t="shared" si="14"/>
        <v>41.666666666666671</v>
      </c>
      <c r="J192" s="17">
        <f t="shared" si="15"/>
        <v>12</v>
      </c>
    </row>
    <row r="193" spans="1:10">
      <c r="A193" s="17" t="s">
        <v>741</v>
      </c>
      <c r="B193" s="17" t="s">
        <v>742</v>
      </c>
      <c r="C193" s="17" t="s">
        <v>877</v>
      </c>
      <c r="D193" s="17">
        <v>0</v>
      </c>
      <c r="E193" s="17">
        <v>6</v>
      </c>
      <c r="F193" s="17">
        <v>1</v>
      </c>
      <c r="G193" s="17">
        <f t="shared" si="12"/>
        <v>0</v>
      </c>
      <c r="H193" s="17">
        <f t="shared" si="13"/>
        <v>85.714285714285708</v>
      </c>
      <c r="I193" s="17">
        <f t="shared" si="14"/>
        <v>14.285714285714285</v>
      </c>
      <c r="J193" s="17">
        <f t="shared" si="15"/>
        <v>7</v>
      </c>
    </row>
    <row r="194" spans="1:10">
      <c r="A194" s="17" t="s">
        <v>741</v>
      </c>
      <c r="B194" s="17" t="s">
        <v>742</v>
      </c>
      <c r="C194" s="17" t="s">
        <v>877</v>
      </c>
      <c r="D194" s="17">
        <v>0</v>
      </c>
      <c r="E194" s="17">
        <v>6</v>
      </c>
      <c r="F194" s="17">
        <v>3</v>
      </c>
      <c r="G194" s="17">
        <f t="shared" si="12"/>
        <v>0</v>
      </c>
      <c r="H194" s="17">
        <f t="shared" si="13"/>
        <v>66.666666666666657</v>
      </c>
      <c r="I194" s="17">
        <f t="shared" si="14"/>
        <v>33.333333333333329</v>
      </c>
      <c r="J194" s="17">
        <f t="shared" si="15"/>
        <v>9</v>
      </c>
    </row>
    <row r="195" spans="1:10">
      <c r="A195" s="17" t="s">
        <v>741</v>
      </c>
      <c r="B195" s="17" t="s">
        <v>742</v>
      </c>
      <c r="C195" s="17" t="s">
        <v>877</v>
      </c>
      <c r="D195" s="17">
        <v>0</v>
      </c>
      <c r="E195" s="17">
        <v>8</v>
      </c>
      <c r="F195" s="17">
        <v>2</v>
      </c>
      <c r="G195" s="17">
        <f t="shared" si="12"/>
        <v>0</v>
      </c>
      <c r="H195" s="17">
        <f t="shared" si="13"/>
        <v>80</v>
      </c>
      <c r="I195" s="17">
        <f t="shared" si="14"/>
        <v>20</v>
      </c>
      <c r="J195" s="17">
        <f t="shared" si="15"/>
        <v>10</v>
      </c>
    </row>
    <row r="196" spans="1:10">
      <c r="A196" s="17" t="s">
        <v>741</v>
      </c>
      <c r="B196" s="17" t="s">
        <v>742</v>
      </c>
      <c r="C196" s="17" t="s">
        <v>877</v>
      </c>
      <c r="D196" s="17">
        <v>0</v>
      </c>
      <c r="E196" s="17">
        <v>5</v>
      </c>
      <c r="F196" s="17">
        <v>2</v>
      </c>
      <c r="G196" s="17">
        <f t="shared" si="12"/>
        <v>0</v>
      </c>
      <c r="H196" s="17">
        <f t="shared" si="13"/>
        <v>71.428571428571431</v>
      </c>
      <c r="I196" s="17">
        <f t="shared" si="14"/>
        <v>28.571428571428569</v>
      </c>
      <c r="J196" s="17">
        <f t="shared" si="15"/>
        <v>7</v>
      </c>
    </row>
    <row r="197" spans="1:10">
      <c r="A197" s="17" t="s">
        <v>741</v>
      </c>
      <c r="B197" s="17" t="s">
        <v>742</v>
      </c>
      <c r="C197" s="17" t="s">
        <v>877</v>
      </c>
      <c r="D197" s="17">
        <v>0</v>
      </c>
      <c r="E197" s="17">
        <v>8</v>
      </c>
      <c r="F197" s="17">
        <v>2</v>
      </c>
      <c r="G197" s="17">
        <f t="shared" si="12"/>
        <v>0</v>
      </c>
      <c r="H197" s="17">
        <f t="shared" si="13"/>
        <v>80</v>
      </c>
      <c r="I197" s="17">
        <f t="shared" si="14"/>
        <v>20</v>
      </c>
      <c r="J197" s="17">
        <f t="shared" si="15"/>
        <v>10</v>
      </c>
    </row>
    <row r="198" spans="1:10">
      <c r="A198" s="17" t="s">
        <v>741</v>
      </c>
      <c r="B198" s="17" t="s">
        <v>742</v>
      </c>
      <c r="C198" s="17" t="s">
        <v>877</v>
      </c>
      <c r="D198" s="17">
        <v>0</v>
      </c>
      <c r="E198" s="17">
        <v>9</v>
      </c>
      <c r="F198" s="17">
        <v>2</v>
      </c>
      <c r="G198" s="17">
        <f t="shared" si="12"/>
        <v>0</v>
      </c>
      <c r="H198" s="17">
        <f t="shared" si="13"/>
        <v>81.818181818181827</v>
      </c>
      <c r="I198" s="17">
        <f t="shared" si="14"/>
        <v>18.181818181818183</v>
      </c>
      <c r="J198" s="17">
        <f t="shared" si="15"/>
        <v>11</v>
      </c>
    </row>
    <row r="199" spans="1:10">
      <c r="A199" s="17" t="s">
        <v>741</v>
      </c>
      <c r="B199" s="17" t="s">
        <v>742</v>
      </c>
      <c r="C199" s="17" t="s">
        <v>877</v>
      </c>
      <c r="D199" s="17">
        <v>0</v>
      </c>
      <c r="E199" s="17">
        <v>7</v>
      </c>
      <c r="F199" s="17">
        <v>3</v>
      </c>
      <c r="G199" s="17">
        <f t="shared" si="12"/>
        <v>0</v>
      </c>
      <c r="H199" s="17">
        <f t="shared" si="13"/>
        <v>70</v>
      </c>
      <c r="I199" s="17">
        <f t="shared" si="14"/>
        <v>30</v>
      </c>
      <c r="J199" s="17">
        <f t="shared" si="15"/>
        <v>10</v>
      </c>
    </row>
    <row r="200" spans="1:10">
      <c r="A200" s="17" t="s">
        <v>741</v>
      </c>
      <c r="B200" s="17" t="s">
        <v>742</v>
      </c>
      <c r="C200" s="17" t="s">
        <v>877</v>
      </c>
      <c r="D200" s="17">
        <v>0</v>
      </c>
      <c r="E200" s="17">
        <v>5</v>
      </c>
      <c r="F200" s="17">
        <v>3</v>
      </c>
      <c r="G200" s="17">
        <f t="shared" si="12"/>
        <v>0</v>
      </c>
      <c r="H200" s="17">
        <f t="shared" si="13"/>
        <v>62.5</v>
      </c>
      <c r="I200" s="17">
        <f t="shared" si="14"/>
        <v>37.5</v>
      </c>
      <c r="J200" s="17">
        <f t="shared" si="15"/>
        <v>8</v>
      </c>
    </row>
    <row r="201" spans="1:10">
      <c r="A201" s="17" t="s">
        <v>741</v>
      </c>
      <c r="B201" s="17" t="s">
        <v>742</v>
      </c>
      <c r="C201" s="17" t="s">
        <v>877</v>
      </c>
      <c r="D201" s="17">
        <v>0</v>
      </c>
      <c r="E201" s="17">
        <v>6</v>
      </c>
      <c r="F201" s="17">
        <v>4</v>
      </c>
      <c r="G201" s="17">
        <f t="shared" si="12"/>
        <v>0</v>
      </c>
      <c r="H201" s="17">
        <f t="shared" si="13"/>
        <v>60</v>
      </c>
      <c r="I201" s="17">
        <f t="shared" si="14"/>
        <v>40</v>
      </c>
      <c r="J201" s="17">
        <f t="shared" si="15"/>
        <v>10</v>
      </c>
    </row>
    <row r="202" spans="1:10">
      <c r="A202" s="17" t="s">
        <v>741</v>
      </c>
      <c r="B202" s="17" t="s">
        <v>742</v>
      </c>
      <c r="C202" s="17" t="s">
        <v>877</v>
      </c>
      <c r="D202" s="17">
        <v>0</v>
      </c>
      <c r="E202" s="17">
        <v>5</v>
      </c>
      <c r="F202" s="17">
        <v>4</v>
      </c>
      <c r="G202" s="17">
        <f t="shared" si="12"/>
        <v>0</v>
      </c>
      <c r="H202" s="17">
        <f t="shared" si="13"/>
        <v>55.555555555555557</v>
      </c>
      <c r="I202" s="17">
        <f t="shared" si="14"/>
        <v>44.444444444444443</v>
      </c>
      <c r="J202" s="17">
        <f t="shared" si="15"/>
        <v>9</v>
      </c>
    </row>
    <row r="203" spans="1:10">
      <c r="A203" s="17" t="s">
        <v>741</v>
      </c>
      <c r="B203" s="17" t="s">
        <v>742</v>
      </c>
      <c r="C203" s="17" t="s">
        <v>877</v>
      </c>
      <c r="D203" s="17">
        <v>0</v>
      </c>
      <c r="E203" s="17">
        <v>7</v>
      </c>
      <c r="F203" s="17">
        <v>3</v>
      </c>
      <c r="G203" s="17">
        <f t="shared" si="12"/>
        <v>0</v>
      </c>
      <c r="H203" s="17">
        <f t="shared" si="13"/>
        <v>70</v>
      </c>
      <c r="I203" s="17">
        <f t="shared" si="14"/>
        <v>30</v>
      </c>
      <c r="J203" s="17">
        <f t="shared" si="15"/>
        <v>10</v>
      </c>
    </row>
    <row r="204" spans="1:10">
      <c r="A204" s="17" t="s">
        <v>741</v>
      </c>
      <c r="B204" s="17" t="s">
        <v>742</v>
      </c>
      <c r="C204" s="17" t="s">
        <v>877</v>
      </c>
      <c r="D204" s="17">
        <v>0</v>
      </c>
      <c r="E204" s="17">
        <v>7</v>
      </c>
      <c r="F204" s="17">
        <v>3</v>
      </c>
      <c r="G204" s="17">
        <f t="shared" si="12"/>
        <v>0</v>
      </c>
      <c r="H204" s="17">
        <f t="shared" si="13"/>
        <v>70</v>
      </c>
      <c r="I204" s="17">
        <f t="shared" si="14"/>
        <v>30</v>
      </c>
      <c r="J204" s="17">
        <f t="shared" si="15"/>
        <v>10</v>
      </c>
    </row>
    <row r="205" spans="1:10">
      <c r="A205" s="16" t="s">
        <v>743</v>
      </c>
      <c r="B205" s="42"/>
      <c r="C205" s="42"/>
      <c r="D205" s="42"/>
      <c r="E205" s="43"/>
      <c r="F205" s="13" t="s">
        <v>22</v>
      </c>
      <c r="G205" s="20">
        <f>AVERAGE(G185:G204)</f>
        <v>0</v>
      </c>
      <c r="H205" s="20">
        <f>AVERAGE(H185:H204)</f>
        <v>73.403860028860038</v>
      </c>
      <c r="I205" s="20">
        <f>AVERAGE(I185:I204)</f>
        <v>26.596139971139969</v>
      </c>
      <c r="J205" s="21" t="s">
        <v>492</v>
      </c>
    </row>
    <row r="206" spans="1:10">
      <c r="A206" s="35"/>
      <c r="B206" s="35"/>
      <c r="C206" s="26"/>
      <c r="D206" s="26"/>
      <c r="E206" s="35"/>
      <c r="F206" s="13" t="s">
        <v>570</v>
      </c>
      <c r="G206" s="29">
        <f>STDEV(G185:G204)</f>
        <v>0</v>
      </c>
      <c r="H206" s="29">
        <f>STDEV(H185:H204)</f>
        <v>11.794607670968631</v>
      </c>
      <c r="I206" s="29">
        <f>STDEV(I185:I204)</f>
        <v>11.794607670968656</v>
      </c>
      <c r="J206" s="15">
        <f>SUM(J185:J204)</f>
        <v>191</v>
      </c>
    </row>
    <row r="212" spans="1:10">
      <c r="A212" s="41" t="s">
        <v>871</v>
      </c>
      <c r="B212" s="17" t="s">
        <v>742</v>
      </c>
      <c r="C212" s="17" t="s">
        <v>878</v>
      </c>
      <c r="D212" s="17">
        <v>0</v>
      </c>
      <c r="E212" s="17">
        <v>5</v>
      </c>
      <c r="F212" s="17">
        <v>4</v>
      </c>
      <c r="G212" s="17">
        <v>0</v>
      </c>
      <c r="H212" s="17">
        <v>55.555555555555557</v>
      </c>
      <c r="I212" s="17">
        <v>44.444444444444443</v>
      </c>
      <c r="J212" s="17">
        <v>9</v>
      </c>
    </row>
    <row r="213" spans="1:10">
      <c r="A213" s="41" t="s">
        <v>871</v>
      </c>
      <c r="B213" s="17" t="s">
        <v>742</v>
      </c>
      <c r="C213" s="17" t="s">
        <v>878</v>
      </c>
      <c r="D213" s="17">
        <v>0</v>
      </c>
      <c r="E213" s="17">
        <v>8</v>
      </c>
      <c r="F213" s="17">
        <v>3</v>
      </c>
      <c r="G213" s="17">
        <v>0</v>
      </c>
      <c r="H213" s="17">
        <v>72.727272727272734</v>
      </c>
      <c r="I213" s="17">
        <v>27.27272727272727</v>
      </c>
      <c r="J213" s="17">
        <v>11</v>
      </c>
    </row>
    <row r="214" spans="1:10">
      <c r="A214" s="41" t="s">
        <v>871</v>
      </c>
      <c r="B214" s="17" t="s">
        <v>742</v>
      </c>
      <c r="C214" s="17" t="s">
        <v>878</v>
      </c>
      <c r="D214" s="17">
        <v>0</v>
      </c>
      <c r="E214" s="17">
        <v>4</v>
      </c>
      <c r="F214" s="17">
        <v>2</v>
      </c>
      <c r="G214" s="17">
        <v>0</v>
      </c>
      <c r="H214" s="17">
        <v>66.666666666666657</v>
      </c>
      <c r="I214" s="17">
        <v>33.333333333333329</v>
      </c>
      <c r="J214" s="17">
        <v>6</v>
      </c>
    </row>
    <row r="215" spans="1:10">
      <c r="A215" s="41" t="s">
        <v>871</v>
      </c>
      <c r="B215" s="17" t="s">
        <v>742</v>
      </c>
      <c r="C215" s="17" t="s">
        <v>878</v>
      </c>
      <c r="D215" s="17">
        <v>0</v>
      </c>
      <c r="E215" s="17">
        <v>6</v>
      </c>
      <c r="F215" s="17">
        <v>3</v>
      </c>
      <c r="G215" s="17">
        <v>0</v>
      </c>
      <c r="H215" s="17">
        <v>66.666666666666657</v>
      </c>
      <c r="I215" s="17">
        <v>33.333333333333329</v>
      </c>
      <c r="J215" s="17">
        <v>9</v>
      </c>
    </row>
    <row r="216" spans="1:10">
      <c r="A216" s="41" t="s">
        <v>871</v>
      </c>
      <c r="B216" s="17" t="s">
        <v>742</v>
      </c>
      <c r="C216" s="17" t="s">
        <v>878</v>
      </c>
      <c r="D216" s="17">
        <v>0</v>
      </c>
      <c r="E216" s="17">
        <v>2</v>
      </c>
      <c r="F216" s="17">
        <v>1</v>
      </c>
      <c r="G216" s="17">
        <v>0</v>
      </c>
      <c r="H216" s="17">
        <v>66.666666666666657</v>
      </c>
      <c r="I216" s="17">
        <v>33.333333333333329</v>
      </c>
      <c r="J216" s="17">
        <v>3</v>
      </c>
    </row>
    <row r="217" spans="1:10">
      <c r="A217" s="41" t="s">
        <v>871</v>
      </c>
      <c r="B217" s="17" t="s">
        <v>742</v>
      </c>
      <c r="C217" s="17" t="s">
        <v>878</v>
      </c>
      <c r="D217" s="17">
        <v>0</v>
      </c>
      <c r="E217" s="17">
        <v>8</v>
      </c>
      <c r="F217" s="17">
        <v>0</v>
      </c>
      <c r="G217" s="17">
        <v>0</v>
      </c>
      <c r="H217" s="17">
        <v>100</v>
      </c>
      <c r="I217" s="17">
        <v>0</v>
      </c>
      <c r="J217" s="17">
        <v>8</v>
      </c>
    </row>
    <row r="218" spans="1:10">
      <c r="A218" s="41" t="s">
        <v>871</v>
      </c>
      <c r="B218" s="17" t="s">
        <v>742</v>
      </c>
      <c r="C218" s="17" t="s">
        <v>878</v>
      </c>
      <c r="D218" s="17">
        <v>0</v>
      </c>
      <c r="E218" s="17">
        <v>7</v>
      </c>
      <c r="F218" s="17">
        <v>1</v>
      </c>
      <c r="G218" s="17">
        <v>0</v>
      </c>
      <c r="H218" s="17">
        <v>87.5</v>
      </c>
      <c r="I218" s="17">
        <v>12.5</v>
      </c>
      <c r="J218" s="17">
        <v>8</v>
      </c>
    </row>
    <row r="219" spans="1:10">
      <c r="A219" s="41" t="s">
        <v>872</v>
      </c>
      <c r="B219" s="17" t="s">
        <v>742</v>
      </c>
      <c r="C219" s="17" t="s">
        <v>878</v>
      </c>
      <c r="D219" s="17">
        <v>0</v>
      </c>
      <c r="E219" s="17">
        <v>7</v>
      </c>
      <c r="F219" s="17">
        <v>3</v>
      </c>
      <c r="G219" s="17">
        <v>0</v>
      </c>
      <c r="H219" s="17">
        <v>70</v>
      </c>
      <c r="I219" s="17">
        <v>30</v>
      </c>
      <c r="J219" s="17">
        <v>10</v>
      </c>
    </row>
    <row r="220" spans="1:10">
      <c r="A220" s="41" t="s">
        <v>872</v>
      </c>
      <c r="B220" s="17" t="s">
        <v>742</v>
      </c>
      <c r="C220" s="17" t="s">
        <v>878</v>
      </c>
      <c r="D220" s="17">
        <v>0</v>
      </c>
      <c r="E220" s="17">
        <v>3</v>
      </c>
      <c r="F220" s="17">
        <v>2</v>
      </c>
      <c r="G220" s="17">
        <v>0</v>
      </c>
      <c r="H220" s="17">
        <v>60</v>
      </c>
      <c r="I220" s="17">
        <v>40</v>
      </c>
      <c r="J220" s="17">
        <v>5</v>
      </c>
    </row>
    <row r="221" spans="1:10">
      <c r="A221" s="41" t="s">
        <v>872</v>
      </c>
      <c r="B221" s="17" t="s">
        <v>742</v>
      </c>
      <c r="C221" s="17" t="s">
        <v>878</v>
      </c>
      <c r="D221" s="17">
        <v>0</v>
      </c>
      <c r="E221" s="17">
        <v>6</v>
      </c>
      <c r="F221" s="17">
        <v>2</v>
      </c>
      <c r="G221" s="17">
        <v>0</v>
      </c>
      <c r="H221" s="17">
        <v>75</v>
      </c>
      <c r="I221" s="17">
        <v>25</v>
      </c>
      <c r="J221" s="17">
        <v>8</v>
      </c>
    </row>
    <row r="222" spans="1:10">
      <c r="A222" s="41" t="s">
        <v>872</v>
      </c>
      <c r="B222" s="17" t="s">
        <v>742</v>
      </c>
      <c r="C222" s="17" t="s">
        <v>878</v>
      </c>
      <c r="D222" s="17">
        <v>0</v>
      </c>
      <c r="E222" s="17">
        <v>6</v>
      </c>
      <c r="F222" s="17">
        <v>4</v>
      </c>
      <c r="G222" s="17">
        <v>0</v>
      </c>
      <c r="H222" s="17">
        <v>60</v>
      </c>
      <c r="I222" s="17">
        <v>40</v>
      </c>
      <c r="J222" s="17">
        <v>10</v>
      </c>
    </row>
    <row r="223" spans="1:10">
      <c r="A223" s="41" t="s">
        <v>872</v>
      </c>
      <c r="B223" s="17" t="s">
        <v>742</v>
      </c>
      <c r="C223" s="17" t="s">
        <v>878</v>
      </c>
      <c r="D223" s="17">
        <v>0</v>
      </c>
      <c r="E223" s="17">
        <v>2</v>
      </c>
      <c r="F223" s="17">
        <v>4</v>
      </c>
      <c r="G223" s="17">
        <v>0</v>
      </c>
      <c r="H223" s="17">
        <v>33.333333333333329</v>
      </c>
      <c r="I223" s="17">
        <v>66.666666666666657</v>
      </c>
      <c r="J223" s="17">
        <v>6</v>
      </c>
    </row>
    <row r="224" spans="1:10">
      <c r="A224" s="41" t="s">
        <v>872</v>
      </c>
      <c r="B224" s="17" t="s">
        <v>742</v>
      </c>
      <c r="C224" s="17" t="s">
        <v>878</v>
      </c>
      <c r="D224" s="17">
        <v>0</v>
      </c>
      <c r="E224" s="17">
        <v>3</v>
      </c>
      <c r="F224" s="17">
        <v>3</v>
      </c>
      <c r="G224" s="17">
        <v>0</v>
      </c>
      <c r="H224" s="17">
        <v>50</v>
      </c>
      <c r="I224" s="17">
        <v>50</v>
      </c>
      <c r="J224" s="17">
        <v>6</v>
      </c>
    </row>
    <row r="225" spans="1:10">
      <c r="A225" s="41" t="s">
        <v>872</v>
      </c>
      <c r="B225" s="17" t="s">
        <v>742</v>
      </c>
      <c r="C225" s="17" t="s">
        <v>878</v>
      </c>
      <c r="D225" s="17">
        <v>0</v>
      </c>
      <c r="E225" s="17">
        <v>10</v>
      </c>
      <c r="F225" s="17">
        <v>0</v>
      </c>
      <c r="G225" s="17">
        <v>0</v>
      </c>
      <c r="H225" s="17">
        <v>100</v>
      </c>
      <c r="I225" s="17">
        <v>0</v>
      </c>
      <c r="J225" s="17">
        <v>10</v>
      </c>
    </row>
    <row r="226" spans="1:10">
      <c r="A226" s="41" t="s">
        <v>872</v>
      </c>
      <c r="B226" s="17" t="s">
        <v>742</v>
      </c>
      <c r="C226" s="17" t="s">
        <v>878</v>
      </c>
      <c r="D226" s="17">
        <v>0</v>
      </c>
      <c r="E226" s="17">
        <v>11</v>
      </c>
      <c r="F226" s="17">
        <v>0</v>
      </c>
      <c r="G226" s="17">
        <v>0</v>
      </c>
      <c r="H226" s="17">
        <v>100</v>
      </c>
      <c r="I226" s="17">
        <v>0</v>
      </c>
      <c r="J226" s="17">
        <v>11</v>
      </c>
    </row>
    <row r="227" spans="1:10">
      <c r="A227" s="41" t="s">
        <v>873</v>
      </c>
      <c r="B227" s="17" t="s">
        <v>742</v>
      </c>
      <c r="C227" s="17" t="s">
        <v>878</v>
      </c>
      <c r="D227" s="17">
        <v>0</v>
      </c>
      <c r="E227" s="17">
        <v>6</v>
      </c>
      <c r="F227" s="17">
        <v>2</v>
      </c>
      <c r="G227" s="17">
        <v>0</v>
      </c>
      <c r="H227" s="17">
        <v>75</v>
      </c>
      <c r="I227" s="17">
        <v>25</v>
      </c>
      <c r="J227" s="17">
        <v>8</v>
      </c>
    </row>
    <row r="228" spans="1:10">
      <c r="A228" s="41" t="s">
        <v>873</v>
      </c>
      <c r="B228" s="17" t="s">
        <v>742</v>
      </c>
      <c r="C228" s="17" t="s">
        <v>878</v>
      </c>
      <c r="D228" s="17">
        <v>0</v>
      </c>
      <c r="E228" s="17">
        <v>4</v>
      </c>
      <c r="F228" s="17">
        <v>2</v>
      </c>
      <c r="G228" s="17">
        <v>0</v>
      </c>
      <c r="H228" s="17">
        <v>66.666666666666657</v>
      </c>
      <c r="I228" s="17">
        <v>33.333333333333329</v>
      </c>
      <c r="J228" s="17">
        <v>6</v>
      </c>
    </row>
    <row r="229" spans="1:10">
      <c r="A229" s="41" t="s">
        <v>873</v>
      </c>
      <c r="B229" s="17" t="s">
        <v>742</v>
      </c>
      <c r="C229" s="17" t="s">
        <v>878</v>
      </c>
      <c r="D229" s="17">
        <v>0</v>
      </c>
      <c r="E229" s="17">
        <v>2</v>
      </c>
      <c r="F229" s="17">
        <v>4</v>
      </c>
      <c r="G229" s="17">
        <v>0</v>
      </c>
      <c r="H229" s="17">
        <v>33.333333333333329</v>
      </c>
      <c r="I229" s="17">
        <v>66.666666666666657</v>
      </c>
      <c r="J229" s="17">
        <v>6</v>
      </c>
    </row>
    <row r="230" spans="1:10">
      <c r="A230" s="41" t="s">
        <v>873</v>
      </c>
      <c r="B230" s="17" t="s">
        <v>742</v>
      </c>
      <c r="C230" s="17" t="s">
        <v>878</v>
      </c>
      <c r="D230" s="17">
        <v>0</v>
      </c>
      <c r="E230" s="17">
        <v>3</v>
      </c>
      <c r="F230" s="17">
        <v>6</v>
      </c>
      <c r="G230" s="17">
        <v>0</v>
      </c>
      <c r="H230" s="17">
        <v>33.333333333333329</v>
      </c>
      <c r="I230" s="17">
        <v>66.666666666666657</v>
      </c>
      <c r="J230" s="17">
        <v>9</v>
      </c>
    </row>
    <row r="231" spans="1:10">
      <c r="A231" s="41" t="s">
        <v>874</v>
      </c>
      <c r="B231" s="17" t="s">
        <v>742</v>
      </c>
      <c r="C231" s="17" t="s">
        <v>878</v>
      </c>
      <c r="D231" s="17">
        <v>0</v>
      </c>
      <c r="E231" s="17">
        <v>5</v>
      </c>
      <c r="F231" s="17">
        <v>2</v>
      </c>
      <c r="G231" s="17">
        <v>0</v>
      </c>
      <c r="H231" s="17">
        <v>71.428571428571431</v>
      </c>
      <c r="I231" s="17">
        <v>28.571428571428569</v>
      </c>
      <c r="J231" s="17">
        <v>7</v>
      </c>
    </row>
    <row r="232" spans="1:10">
      <c r="A232" s="41" t="s">
        <v>874</v>
      </c>
      <c r="B232" s="17" t="s">
        <v>742</v>
      </c>
      <c r="C232" s="17" t="s">
        <v>878</v>
      </c>
      <c r="D232" s="17">
        <v>0</v>
      </c>
      <c r="E232" s="17">
        <v>6</v>
      </c>
      <c r="F232" s="17">
        <v>0</v>
      </c>
      <c r="G232" s="17">
        <v>0</v>
      </c>
      <c r="H232" s="17">
        <v>100</v>
      </c>
      <c r="I232" s="17">
        <v>0</v>
      </c>
      <c r="J232" s="17">
        <v>6</v>
      </c>
    </row>
    <row r="233" spans="1:10">
      <c r="A233" s="41" t="s">
        <v>874</v>
      </c>
      <c r="B233" s="17" t="s">
        <v>742</v>
      </c>
      <c r="C233" s="17" t="s">
        <v>878</v>
      </c>
      <c r="D233" s="17">
        <v>0</v>
      </c>
      <c r="E233" s="17">
        <v>5</v>
      </c>
      <c r="F233" s="17">
        <v>4</v>
      </c>
      <c r="G233" s="17">
        <v>0</v>
      </c>
      <c r="H233" s="17">
        <v>55.555555555555557</v>
      </c>
      <c r="I233" s="17">
        <v>44.444444444444443</v>
      </c>
      <c r="J233" s="17">
        <v>9</v>
      </c>
    </row>
    <row r="234" spans="1:10">
      <c r="A234" s="41" t="s">
        <v>874</v>
      </c>
      <c r="B234" s="17" t="s">
        <v>742</v>
      </c>
      <c r="C234" s="17" t="s">
        <v>878</v>
      </c>
      <c r="D234" s="17">
        <v>0</v>
      </c>
      <c r="E234" s="17">
        <v>4</v>
      </c>
      <c r="F234" s="17">
        <v>4</v>
      </c>
      <c r="G234" s="17">
        <v>0</v>
      </c>
      <c r="H234" s="17">
        <v>50</v>
      </c>
      <c r="I234" s="17">
        <v>50</v>
      </c>
      <c r="J234" s="17">
        <v>8</v>
      </c>
    </row>
    <row r="235" spans="1:10">
      <c r="A235" s="41" t="s">
        <v>874</v>
      </c>
      <c r="B235" s="17" t="s">
        <v>742</v>
      </c>
      <c r="C235" s="17" t="s">
        <v>878</v>
      </c>
      <c r="D235" s="17">
        <v>0</v>
      </c>
      <c r="E235" s="17">
        <v>5</v>
      </c>
      <c r="F235" s="17">
        <v>3</v>
      </c>
      <c r="G235" s="17">
        <v>0</v>
      </c>
      <c r="H235" s="17">
        <v>62.5</v>
      </c>
      <c r="I235" s="17">
        <v>37.5</v>
      </c>
      <c r="J235" s="17">
        <v>8</v>
      </c>
    </row>
    <row r="236" spans="1:10">
      <c r="A236" s="41" t="s">
        <v>874</v>
      </c>
      <c r="B236" s="17" t="s">
        <v>742</v>
      </c>
      <c r="C236" s="17" t="s">
        <v>878</v>
      </c>
      <c r="D236" s="17">
        <v>0</v>
      </c>
      <c r="E236" s="17">
        <v>5</v>
      </c>
      <c r="F236" s="17">
        <v>4</v>
      </c>
      <c r="G236" s="17">
        <v>0</v>
      </c>
      <c r="H236" s="17">
        <v>55.555555555555557</v>
      </c>
      <c r="I236" s="17">
        <v>44.444444444444443</v>
      </c>
      <c r="J236" s="17">
        <v>9</v>
      </c>
    </row>
    <row r="237" spans="1:10">
      <c r="A237" s="41" t="s">
        <v>874</v>
      </c>
      <c r="B237" s="17" t="s">
        <v>742</v>
      </c>
      <c r="C237" s="17" t="s">
        <v>878</v>
      </c>
      <c r="D237" s="17">
        <v>0</v>
      </c>
      <c r="E237" s="17">
        <v>3</v>
      </c>
      <c r="F237" s="17">
        <v>5</v>
      </c>
      <c r="G237" s="17">
        <v>0</v>
      </c>
      <c r="H237" s="17">
        <v>37.5</v>
      </c>
      <c r="I237" s="17">
        <v>62.5</v>
      </c>
      <c r="J237" s="17">
        <v>8</v>
      </c>
    </row>
    <row r="238" spans="1:10">
      <c r="A238" s="41" t="s">
        <v>874</v>
      </c>
      <c r="B238" s="17" t="s">
        <v>742</v>
      </c>
      <c r="C238" s="17" t="s">
        <v>878</v>
      </c>
      <c r="D238" s="17">
        <v>0</v>
      </c>
      <c r="E238" s="17">
        <v>7</v>
      </c>
      <c r="F238" s="17">
        <v>2</v>
      </c>
      <c r="G238" s="17">
        <v>0</v>
      </c>
      <c r="H238" s="17">
        <v>77.777777777777786</v>
      </c>
      <c r="I238" s="17">
        <v>22.222222222222221</v>
      </c>
      <c r="J238" s="17">
        <v>9</v>
      </c>
    </row>
    <row r="239" spans="1:10">
      <c r="A239" s="44" t="s">
        <v>874</v>
      </c>
      <c r="B239" s="17" t="s">
        <v>742</v>
      </c>
      <c r="C239" s="17" t="s">
        <v>878</v>
      </c>
      <c r="D239" s="17">
        <v>0</v>
      </c>
      <c r="E239" s="17">
        <v>4</v>
      </c>
      <c r="F239" s="17">
        <v>3</v>
      </c>
      <c r="G239" s="17">
        <v>0</v>
      </c>
      <c r="H239" s="17">
        <v>57.142857142857139</v>
      </c>
      <c r="I239" s="17">
        <v>42.857142857142854</v>
      </c>
      <c r="J239" s="17">
        <v>7</v>
      </c>
    </row>
    <row r="240" spans="1:10">
      <c r="A240" s="16" t="s">
        <v>879</v>
      </c>
      <c r="B240" s="45"/>
      <c r="C240" s="35"/>
      <c r="D240" s="35"/>
      <c r="E240" s="35"/>
      <c r="F240" s="32" t="s">
        <v>22</v>
      </c>
      <c r="G240" s="46">
        <v>0</v>
      </c>
      <c r="H240" s="46">
        <v>65.711064728921869</v>
      </c>
      <c r="I240" s="46">
        <v>34.288935271078124</v>
      </c>
      <c r="J240" s="47" t="s">
        <v>492</v>
      </c>
    </row>
    <row r="241" spans="1:10">
      <c r="A241" s="35"/>
      <c r="B241" s="45"/>
      <c r="C241" s="35"/>
      <c r="D241" s="35"/>
      <c r="E241" s="35"/>
      <c r="F241" s="32" t="s">
        <v>570</v>
      </c>
      <c r="G241" s="32">
        <v>0</v>
      </c>
      <c r="H241" s="32">
        <v>19.713384666170207</v>
      </c>
      <c r="I241" s="32">
        <v>19.713384666170242</v>
      </c>
      <c r="J241" s="25">
        <v>220</v>
      </c>
    </row>
    <row r="244" spans="1:10">
      <c r="A244" s="36"/>
      <c r="B244" s="40" t="s">
        <v>712</v>
      </c>
      <c r="C244" s="40"/>
      <c r="D244" s="40"/>
    </row>
    <row r="245" spans="1:10">
      <c r="A245" s="36"/>
      <c r="B245" s="21" t="s">
        <v>576</v>
      </c>
      <c r="C245" s="21" t="s">
        <v>577</v>
      </c>
      <c r="D245" s="21" t="s">
        <v>578</v>
      </c>
    </row>
    <row r="246" spans="1:10">
      <c r="A246" s="21" t="s">
        <v>880</v>
      </c>
      <c r="B246" s="15" t="s">
        <v>725</v>
      </c>
      <c r="C246" s="15">
        <v>0.1182</v>
      </c>
      <c r="D246" s="15">
        <v>0.1182</v>
      </c>
    </row>
    <row r="247" spans="1:10">
      <c r="A247" s="21" t="s">
        <v>881</v>
      </c>
      <c r="B247" s="15" t="s">
        <v>725</v>
      </c>
      <c r="C247" s="15">
        <v>5.8999999999999999E-3</v>
      </c>
      <c r="D247" s="15">
        <v>5.8999999999999999E-3</v>
      </c>
    </row>
    <row r="248" spans="1:10">
      <c r="A248" s="48" t="s">
        <v>882</v>
      </c>
      <c r="B248" s="15" t="s">
        <v>725</v>
      </c>
      <c r="C248" s="15">
        <v>0.53220000000000001</v>
      </c>
      <c r="D248" s="15">
        <v>0.53220000000000001</v>
      </c>
    </row>
    <row r="249" spans="1:10">
      <c r="A249" s="21" t="s">
        <v>883</v>
      </c>
      <c r="B249" s="15" t="s">
        <v>725</v>
      </c>
      <c r="C249" s="15">
        <v>0.46189999999999998</v>
      </c>
      <c r="D249" s="15">
        <v>0.46189999999999998</v>
      </c>
    </row>
  </sheetData>
  <mergeCells count="2">
    <mergeCell ref="B101:D101"/>
    <mergeCell ref="B244:D2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8E474-ACEB-A54E-B346-A5A93223348E}">
  <dimension ref="A1:J156"/>
  <sheetViews>
    <sheetView zoomScale="50" workbookViewId="0">
      <pane ySplit="1" topLeftCell="A2" activePane="bottomLeft" state="frozen"/>
      <selection pane="bottomLeft" activeCell="D14" sqref="D14"/>
    </sheetView>
  </sheetViews>
  <sheetFormatPr baseColWidth="10" defaultRowHeight="16"/>
  <cols>
    <col min="1" max="1" width="31.5" style="18" bestFit="1" customWidth="1"/>
    <col min="2" max="2" width="15.5" style="18" bestFit="1" customWidth="1"/>
    <col min="3" max="3" width="36.1640625" style="18" bestFit="1" customWidth="1"/>
    <col min="4" max="4" width="30.83203125" style="18" bestFit="1" customWidth="1"/>
    <col min="5" max="5" width="28.5" style="18" bestFit="1" customWidth="1"/>
    <col min="6" max="6" width="20.5" style="18" bestFit="1" customWidth="1"/>
    <col min="7" max="7" width="25.6640625" style="18" bestFit="1" customWidth="1"/>
    <col min="8" max="8" width="23.33203125" style="18" bestFit="1" customWidth="1"/>
    <col min="9" max="9" width="15.33203125" style="18" bestFit="1" customWidth="1"/>
    <col min="10" max="10" width="19" style="18" bestFit="1" customWidth="1"/>
    <col min="11" max="16384" width="10.83203125" style="18"/>
  </cols>
  <sheetData>
    <row r="1" spans="1:10">
      <c r="A1" s="12" t="s">
        <v>0</v>
      </c>
      <c r="B1" s="49" t="s">
        <v>586</v>
      </c>
      <c r="C1" s="49" t="s">
        <v>643</v>
      </c>
      <c r="D1" s="49" t="s">
        <v>644</v>
      </c>
      <c r="E1" s="49" t="s">
        <v>645</v>
      </c>
      <c r="F1" s="49" t="s">
        <v>575</v>
      </c>
      <c r="G1" s="32" t="s">
        <v>646</v>
      </c>
      <c r="H1" s="32" t="s">
        <v>647</v>
      </c>
      <c r="I1" s="32" t="s">
        <v>578</v>
      </c>
      <c r="J1" s="39" t="s">
        <v>491</v>
      </c>
    </row>
    <row r="2" spans="1:10">
      <c r="A2" s="25" t="s">
        <v>587</v>
      </c>
      <c r="B2" s="25" t="s">
        <v>3</v>
      </c>
      <c r="C2" s="25" t="s">
        <v>642</v>
      </c>
      <c r="D2" s="25">
        <v>54</v>
      </c>
      <c r="E2" s="25">
        <v>12</v>
      </c>
      <c r="F2" s="25">
        <v>89</v>
      </c>
      <c r="G2" s="25"/>
      <c r="H2" s="25"/>
      <c r="I2" s="25"/>
      <c r="J2" s="25"/>
    </row>
    <row r="3" spans="1:10">
      <c r="A3" s="25" t="s">
        <v>588</v>
      </c>
      <c r="B3" s="25" t="s">
        <v>3</v>
      </c>
      <c r="C3" s="25" t="s">
        <v>642</v>
      </c>
      <c r="D3" s="25">
        <v>80</v>
      </c>
      <c r="E3" s="25">
        <v>4</v>
      </c>
      <c r="F3" s="25">
        <v>74</v>
      </c>
      <c r="G3" s="25"/>
      <c r="H3" s="25"/>
      <c r="I3" s="25"/>
      <c r="J3" s="25"/>
    </row>
    <row r="4" spans="1:10">
      <c r="A4" s="50" t="s">
        <v>589</v>
      </c>
      <c r="B4" s="50" t="s">
        <v>3</v>
      </c>
      <c r="C4" s="50" t="s">
        <v>642</v>
      </c>
      <c r="D4" s="50">
        <v>134</v>
      </c>
      <c r="E4" s="50">
        <v>16</v>
      </c>
      <c r="F4" s="50">
        <v>163</v>
      </c>
      <c r="G4" s="50">
        <v>42.811501597444092</v>
      </c>
      <c r="H4" s="50">
        <v>5.1118210862619806</v>
      </c>
      <c r="I4" s="50">
        <v>52.076677316293932</v>
      </c>
      <c r="J4" s="50">
        <v>313</v>
      </c>
    </row>
    <row r="5" spans="1:10">
      <c r="A5" s="25" t="s">
        <v>590</v>
      </c>
      <c r="B5" s="25" t="s">
        <v>3</v>
      </c>
      <c r="C5" s="25" t="s">
        <v>642</v>
      </c>
      <c r="D5" s="25">
        <v>4</v>
      </c>
      <c r="E5" s="25">
        <v>68</v>
      </c>
      <c r="F5" s="25">
        <v>74</v>
      </c>
      <c r="G5" s="25"/>
      <c r="H5" s="25"/>
      <c r="I5" s="25"/>
      <c r="J5" s="25"/>
    </row>
    <row r="6" spans="1:10">
      <c r="A6" s="25" t="s">
        <v>591</v>
      </c>
      <c r="B6" s="25" t="s">
        <v>3</v>
      </c>
      <c r="C6" s="25" t="s">
        <v>642</v>
      </c>
      <c r="D6" s="25">
        <v>2</v>
      </c>
      <c r="E6" s="25">
        <v>103</v>
      </c>
      <c r="F6" s="25">
        <v>99</v>
      </c>
      <c r="G6" s="25"/>
      <c r="H6" s="25"/>
      <c r="I6" s="25"/>
      <c r="J6" s="25"/>
    </row>
    <row r="7" spans="1:10">
      <c r="A7" s="50" t="s">
        <v>592</v>
      </c>
      <c r="B7" s="50" t="s">
        <v>3</v>
      </c>
      <c r="C7" s="50" t="s">
        <v>642</v>
      </c>
      <c r="D7" s="50">
        <v>6</v>
      </c>
      <c r="E7" s="50">
        <v>171</v>
      </c>
      <c r="F7" s="50">
        <v>173</v>
      </c>
      <c r="G7" s="50">
        <v>1.7142857142857144</v>
      </c>
      <c r="H7" s="50">
        <v>48.857142857142854</v>
      </c>
      <c r="I7" s="50">
        <v>49.428571428571431</v>
      </c>
      <c r="J7" s="50">
        <v>350</v>
      </c>
    </row>
    <row r="8" spans="1:10">
      <c r="A8" s="25" t="s">
        <v>593</v>
      </c>
      <c r="B8" s="25" t="s">
        <v>3</v>
      </c>
      <c r="C8" s="25" t="s">
        <v>642</v>
      </c>
      <c r="D8" s="25">
        <v>7</v>
      </c>
      <c r="E8" s="25">
        <v>48</v>
      </c>
      <c r="F8" s="25">
        <v>126</v>
      </c>
      <c r="G8" s="25"/>
      <c r="H8" s="25"/>
      <c r="I8" s="25"/>
      <c r="J8" s="25"/>
    </row>
    <row r="9" spans="1:10">
      <c r="A9" s="25" t="s">
        <v>594</v>
      </c>
      <c r="B9" s="25" t="s">
        <v>3</v>
      </c>
      <c r="C9" s="25" t="s">
        <v>642</v>
      </c>
      <c r="D9" s="25">
        <v>8</v>
      </c>
      <c r="E9" s="25">
        <v>44</v>
      </c>
      <c r="F9" s="25">
        <v>125</v>
      </c>
      <c r="G9" s="25"/>
      <c r="H9" s="25"/>
      <c r="I9" s="25"/>
      <c r="J9" s="25"/>
    </row>
    <row r="10" spans="1:10">
      <c r="A10" s="50" t="s">
        <v>595</v>
      </c>
      <c r="B10" s="50" t="s">
        <v>3</v>
      </c>
      <c r="C10" s="50" t="s">
        <v>642</v>
      </c>
      <c r="D10" s="50">
        <v>15</v>
      </c>
      <c r="E10" s="50">
        <v>92</v>
      </c>
      <c r="F10" s="50">
        <v>251</v>
      </c>
      <c r="G10" s="50">
        <v>4.1899441340782122</v>
      </c>
      <c r="H10" s="50">
        <v>25.69832402234637</v>
      </c>
      <c r="I10" s="50">
        <v>70.111731843575427</v>
      </c>
      <c r="J10" s="50">
        <v>358</v>
      </c>
    </row>
    <row r="11" spans="1:10">
      <c r="A11" s="25" t="s">
        <v>596</v>
      </c>
      <c r="B11" s="25" t="s">
        <v>3</v>
      </c>
      <c r="C11" s="25" t="s">
        <v>642</v>
      </c>
      <c r="D11" s="25">
        <v>5</v>
      </c>
      <c r="E11" s="25">
        <v>6</v>
      </c>
      <c r="F11" s="25">
        <v>117</v>
      </c>
      <c r="G11" s="25"/>
      <c r="H11" s="25"/>
      <c r="I11" s="25"/>
      <c r="J11" s="25"/>
    </row>
    <row r="12" spans="1:10">
      <c r="A12" s="25" t="s">
        <v>597</v>
      </c>
      <c r="B12" s="25" t="s">
        <v>3</v>
      </c>
      <c r="C12" s="25" t="s">
        <v>642</v>
      </c>
      <c r="D12" s="25">
        <v>11</v>
      </c>
      <c r="E12" s="25">
        <v>2</v>
      </c>
      <c r="F12" s="25">
        <v>78</v>
      </c>
      <c r="G12" s="25"/>
      <c r="H12" s="25"/>
      <c r="I12" s="25"/>
      <c r="J12" s="25"/>
    </row>
    <row r="13" spans="1:10">
      <c r="A13" s="50" t="s">
        <v>598</v>
      </c>
      <c r="B13" s="50" t="s">
        <v>3</v>
      </c>
      <c r="C13" s="50" t="s">
        <v>642</v>
      </c>
      <c r="D13" s="50">
        <v>16</v>
      </c>
      <c r="E13" s="50">
        <v>8</v>
      </c>
      <c r="F13" s="50">
        <v>195</v>
      </c>
      <c r="G13" s="50">
        <v>7.3059360730593603</v>
      </c>
      <c r="H13" s="50">
        <v>3.6529680365296802</v>
      </c>
      <c r="I13" s="50">
        <v>89.041095890410958</v>
      </c>
      <c r="J13" s="50">
        <v>219</v>
      </c>
    </row>
    <row r="14" spans="1:10">
      <c r="A14" s="25" t="s">
        <v>599</v>
      </c>
      <c r="B14" s="25" t="s">
        <v>3</v>
      </c>
      <c r="C14" s="25" t="s">
        <v>642</v>
      </c>
      <c r="D14" s="25">
        <v>30</v>
      </c>
      <c r="E14" s="25">
        <v>15</v>
      </c>
      <c r="F14" s="25">
        <v>77</v>
      </c>
      <c r="G14" s="25"/>
      <c r="H14" s="25"/>
      <c r="I14" s="25"/>
      <c r="J14" s="25"/>
    </row>
    <row r="15" spans="1:10">
      <c r="A15" s="25" t="s">
        <v>600</v>
      </c>
      <c r="B15" s="25" t="s">
        <v>3</v>
      </c>
      <c r="C15" s="25" t="s">
        <v>642</v>
      </c>
      <c r="D15" s="25">
        <v>13</v>
      </c>
      <c r="E15" s="25">
        <v>5</v>
      </c>
      <c r="F15" s="25">
        <v>62</v>
      </c>
      <c r="G15" s="25"/>
      <c r="H15" s="25"/>
      <c r="I15" s="25"/>
      <c r="J15" s="25"/>
    </row>
    <row r="16" spans="1:10">
      <c r="A16" s="50" t="s">
        <v>601</v>
      </c>
      <c r="B16" s="50" t="s">
        <v>3</v>
      </c>
      <c r="C16" s="50" t="s">
        <v>642</v>
      </c>
      <c r="D16" s="50">
        <v>43</v>
      </c>
      <c r="E16" s="50">
        <v>20</v>
      </c>
      <c r="F16" s="50">
        <v>139</v>
      </c>
      <c r="G16" s="50">
        <v>21.287128712871286</v>
      </c>
      <c r="H16" s="50">
        <v>9.9009900990099009</v>
      </c>
      <c r="I16" s="50">
        <v>68.811881188118804</v>
      </c>
      <c r="J16" s="50">
        <v>202</v>
      </c>
    </row>
    <row r="17" spans="1:10">
      <c r="A17" s="25" t="s">
        <v>602</v>
      </c>
      <c r="B17" s="25" t="s">
        <v>3</v>
      </c>
      <c r="C17" s="25" t="s">
        <v>642</v>
      </c>
      <c r="D17" s="25">
        <v>6</v>
      </c>
      <c r="E17" s="25">
        <v>18</v>
      </c>
      <c r="F17" s="25">
        <v>116</v>
      </c>
      <c r="G17" s="25"/>
      <c r="H17" s="25"/>
      <c r="I17" s="25"/>
      <c r="J17" s="25"/>
    </row>
    <row r="18" spans="1:10">
      <c r="A18" s="25" t="s">
        <v>603</v>
      </c>
      <c r="B18" s="25" t="s">
        <v>3</v>
      </c>
      <c r="C18" s="25" t="s">
        <v>642</v>
      </c>
      <c r="D18" s="25">
        <v>8</v>
      </c>
      <c r="E18" s="25">
        <v>13</v>
      </c>
      <c r="F18" s="25">
        <v>118</v>
      </c>
      <c r="G18" s="25"/>
      <c r="H18" s="25"/>
      <c r="I18" s="25"/>
      <c r="J18" s="25"/>
    </row>
    <row r="19" spans="1:10">
      <c r="A19" s="50" t="s">
        <v>604</v>
      </c>
      <c r="B19" s="50" t="s">
        <v>3</v>
      </c>
      <c r="C19" s="50" t="s">
        <v>642</v>
      </c>
      <c r="D19" s="50">
        <v>14</v>
      </c>
      <c r="E19" s="50">
        <v>31</v>
      </c>
      <c r="F19" s="50">
        <v>234</v>
      </c>
      <c r="G19" s="50">
        <v>5.0179211469534053</v>
      </c>
      <c r="H19" s="50">
        <v>11.111111111111111</v>
      </c>
      <c r="I19" s="50">
        <v>83.870967741935488</v>
      </c>
      <c r="J19" s="50">
        <v>279</v>
      </c>
    </row>
    <row r="20" spans="1:10">
      <c r="A20" s="25" t="s">
        <v>605</v>
      </c>
      <c r="B20" s="25" t="s">
        <v>3</v>
      </c>
      <c r="C20" s="25" t="s">
        <v>642</v>
      </c>
      <c r="D20" s="25">
        <v>4</v>
      </c>
      <c r="E20" s="25">
        <v>26</v>
      </c>
      <c r="F20" s="25">
        <v>142</v>
      </c>
      <c r="G20" s="25"/>
      <c r="H20" s="25"/>
      <c r="I20" s="25"/>
      <c r="J20" s="25"/>
    </row>
    <row r="21" spans="1:10">
      <c r="A21" s="25" t="s">
        <v>606</v>
      </c>
      <c r="B21" s="25" t="s">
        <v>3</v>
      </c>
      <c r="C21" s="25" t="s">
        <v>642</v>
      </c>
      <c r="D21" s="25">
        <v>0</v>
      </c>
      <c r="E21" s="25">
        <v>40</v>
      </c>
      <c r="F21" s="25">
        <v>100</v>
      </c>
      <c r="G21" s="25"/>
      <c r="H21" s="25"/>
      <c r="I21" s="25"/>
      <c r="J21" s="25"/>
    </row>
    <row r="22" spans="1:10">
      <c r="A22" s="50" t="s">
        <v>607</v>
      </c>
      <c r="B22" s="50" t="s">
        <v>3</v>
      </c>
      <c r="C22" s="50" t="s">
        <v>642</v>
      </c>
      <c r="D22" s="50">
        <v>4</v>
      </c>
      <c r="E22" s="50">
        <v>66</v>
      </c>
      <c r="F22" s="50">
        <v>242</v>
      </c>
      <c r="G22" s="50">
        <v>1.2820512820512819</v>
      </c>
      <c r="H22" s="50">
        <v>21.153846153846153</v>
      </c>
      <c r="I22" s="50">
        <v>77.564102564102569</v>
      </c>
      <c r="J22" s="50">
        <v>312</v>
      </c>
    </row>
    <row r="23" spans="1:10">
      <c r="A23" s="25" t="s">
        <v>608</v>
      </c>
      <c r="B23" s="25" t="s">
        <v>3</v>
      </c>
      <c r="C23" s="25" t="s">
        <v>642</v>
      </c>
      <c r="D23" s="25">
        <v>5</v>
      </c>
      <c r="E23" s="25">
        <v>126</v>
      </c>
      <c r="F23" s="25">
        <v>78</v>
      </c>
      <c r="G23" s="25"/>
      <c r="H23" s="25"/>
      <c r="I23" s="25"/>
      <c r="J23" s="25"/>
    </row>
    <row r="24" spans="1:10">
      <c r="A24" s="25" t="s">
        <v>609</v>
      </c>
      <c r="B24" s="25" t="s">
        <v>3</v>
      </c>
      <c r="C24" s="25" t="s">
        <v>642</v>
      </c>
      <c r="D24" s="25">
        <v>0</v>
      </c>
      <c r="E24" s="25">
        <v>64</v>
      </c>
      <c r="F24" s="25">
        <v>78</v>
      </c>
      <c r="G24" s="25"/>
      <c r="H24" s="25"/>
      <c r="I24" s="25"/>
      <c r="J24" s="25"/>
    </row>
    <row r="25" spans="1:10">
      <c r="A25" s="50" t="s">
        <v>610</v>
      </c>
      <c r="B25" s="50" t="s">
        <v>3</v>
      </c>
      <c r="C25" s="50" t="s">
        <v>642</v>
      </c>
      <c r="D25" s="50">
        <v>5</v>
      </c>
      <c r="E25" s="50">
        <v>190</v>
      </c>
      <c r="F25" s="50">
        <v>156</v>
      </c>
      <c r="G25" s="50">
        <v>1.4245014245014245</v>
      </c>
      <c r="H25" s="50">
        <v>54.131054131054135</v>
      </c>
      <c r="I25" s="50">
        <v>44.444444444444443</v>
      </c>
      <c r="J25" s="50">
        <v>351</v>
      </c>
    </row>
    <row r="26" spans="1:10">
      <c r="A26" s="25" t="s">
        <v>611</v>
      </c>
      <c r="B26" s="25" t="s">
        <v>3</v>
      </c>
      <c r="C26" s="25" t="s">
        <v>642</v>
      </c>
      <c r="D26" s="25">
        <v>43</v>
      </c>
      <c r="E26" s="25">
        <v>6</v>
      </c>
      <c r="F26" s="25">
        <v>72</v>
      </c>
      <c r="G26" s="25"/>
      <c r="H26" s="25"/>
      <c r="I26" s="25"/>
      <c r="J26" s="25"/>
    </row>
    <row r="27" spans="1:10">
      <c r="A27" s="25" t="s">
        <v>612</v>
      </c>
      <c r="B27" s="25" t="s">
        <v>3</v>
      </c>
      <c r="C27" s="25" t="s">
        <v>642</v>
      </c>
      <c r="D27" s="25">
        <v>20</v>
      </c>
      <c r="E27" s="25">
        <v>4</v>
      </c>
      <c r="F27" s="25">
        <v>87</v>
      </c>
      <c r="G27" s="25"/>
      <c r="H27" s="25"/>
      <c r="I27" s="25"/>
      <c r="J27" s="25"/>
    </row>
    <row r="28" spans="1:10">
      <c r="A28" s="50" t="s">
        <v>613</v>
      </c>
      <c r="B28" s="50" t="s">
        <v>3</v>
      </c>
      <c r="C28" s="50" t="s">
        <v>642</v>
      </c>
      <c r="D28" s="50">
        <v>63</v>
      </c>
      <c r="E28" s="50">
        <v>10</v>
      </c>
      <c r="F28" s="50">
        <v>159</v>
      </c>
      <c r="G28" s="50">
        <v>27.155172413793103</v>
      </c>
      <c r="H28" s="50">
        <v>4.3103448275862073</v>
      </c>
      <c r="I28" s="50">
        <v>68.534482758620683</v>
      </c>
      <c r="J28" s="50">
        <v>232</v>
      </c>
    </row>
    <row r="29" spans="1:10">
      <c r="A29" s="28" t="s">
        <v>299</v>
      </c>
      <c r="B29" s="45"/>
      <c r="C29" s="35"/>
      <c r="D29" s="45"/>
      <c r="F29" s="51" t="s">
        <v>22</v>
      </c>
      <c r="G29" s="52">
        <v>12.465382499893098</v>
      </c>
      <c r="H29" s="52">
        <v>20.436400258320933</v>
      </c>
      <c r="I29" s="52">
        <v>67.098217241785974</v>
      </c>
      <c r="J29" s="53" t="s">
        <v>492</v>
      </c>
    </row>
    <row r="30" spans="1:10">
      <c r="A30" s="35"/>
      <c r="B30" s="45"/>
      <c r="C30" s="35"/>
      <c r="D30" s="45"/>
      <c r="F30" s="51" t="s">
        <v>570</v>
      </c>
      <c r="G30" s="52">
        <v>14.695329022206151</v>
      </c>
      <c r="H30" s="52">
        <v>19.18919862965388</v>
      </c>
      <c r="I30" s="52">
        <v>15.562322602083743</v>
      </c>
      <c r="J30" s="54">
        <v>2616</v>
      </c>
    </row>
    <row r="32" spans="1:10">
      <c r="A32" s="25" t="s">
        <v>614</v>
      </c>
      <c r="B32" s="25" t="s">
        <v>739</v>
      </c>
      <c r="C32" s="25" t="s">
        <v>642</v>
      </c>
      <c r="D32" s="25">
        <v>32</v>
      </c>
      <c r="E32" s="25">
        <v>9</v>
      </c>
      <c r="F32" s="25">
        <v>100</v>
      </c>
      <c r="G32" s="25"/>
      <c r="H32" s="25"/>
      <c r="I32" s="25"/>
      <c r="J32" s="25"/>
    </row>
    <row r="33" spans="1:10">
      <c r="A33" s="25" t="s">
        <v>615</v>
      </c>
      <c r="B33" s="25" t="s">
        <v>739</v>
      </c>
      <c r="C33" s="25" t="s">
        <v>642</v>
      </c>
      <c r="D33" s="25">
        <v>20</v>
      </c>
      <c r="E33" s="25">
        <v>18</v>
      </c>
      <c r="F33" s="25">
        <v>158</v>
      </c>
      <c r="G33" s="25"/>
      <c r="H33" s="25"/>
      <c r="I33" s="25"/>
      <c r="J33" s="25"/>
    </row>
    <row r="34" spans="1:10">
      <c r="A34" s="50" t="s">
        <v>616</v>
      </c>
      <c r="B34" s="50" t="s">
        <v>739</v>
      </c>
      <c r="C34" s="50" t="s">
        <v>642</v>
      </c>
      <c r="D34" s="50">
        <v>52</v>
      </c>
      <c r="E34" s="50">
        <v>27</v>
      </c>
      <c r="F34" s="50">
        <v>258</v>
      </c>
      <c r="G34" s="50">
        <v>15.43026706231454</v>
      </c>
      <c r="H34" s="50">
        <v>8.0118694362017813</v>
      </c>
      <c r="I34" s="50">
        <v>76.557863501483681</v>
      </c>
      <c r="J34" s="50">
        <v>337</v>
      </c>
    </row>
    <row r="35" spans="1:10">
      <c r="A35" s="25" t="s">
        <v>617</v>
      </c>
      <c r="B35" s="25" t="s">
        <v>739</v>
      </c>
      <c r="C35" s="25" t="s">
        <v>642</v>
      </c>
      <c r="D35" s="25">
        <v>35</v>
      </c>
      <c r="E35" s="25">
        <v>8</v>
      </c>
      <c r="F35" s="25">
        <v>115</v>
      </c>
      <c r="G35" s="25"/>
      <c r="H35" s="25"/>
      <c r="I35" s="25"/>
      <c r="J35" s="25"/>
    </row>
    <row r="36" spans="1:10">
      <c r="A36" s="25" t="s">
        <v>618</v>
      </c>
      <c r="B36" s="25" t="s">
        <v>739</v>
      </c>
      <c r="C36" s="25" t="s">
        <v>642</v>
      </c>
      <c r="D36" s="25">
        <v>33</v>
      </c>
      <c r="E36" s="25">
        <v>15</v>
      </c>
      <c r="F36" s="25">
        <v>120</v>
      </c>
      <c r="G36" s="25"/>
      <c r="H36" s="25"/>
      <c r="I36" s="25"/>
      <c r="J36" s="25"/>
    </row>
    <row r="37" spans="1:10">
      <c r="A37" s="50" t="s">
        <v>619</v>
      </c>
      <c r="B37" s="50" t="s">
        <v>739</v>
      </c>
      <c r="C37" s="50" t="s">
        <v>642</v>
      </c>
      <c r="D37" s="50">
        <v>68</v>
      </c>
      <c r="E37" s="50">
        <v>23</v>
      </c>
      <c r="F37" s="50">
        <v>235</v>
      </c>
      <c r="G37" s="50">
        <v>20.858895705521473</v>
      </c>
      <c r="H37" s="50">
        <v>7.0552147239263796</v>
      </c>
      <c r="I37" s="50">
        <v>72.085889570552141</v>
      </c>
      <c r="J37" s="50">
        <v>326</v>
      </c>
    </row>
    <row r="38" spans="1:10">
      <c r="A38" s="25" t="s">
        <v>620</v>
      </c>
      <c r="B38" s="25" t="s">
        <v>739</v>
      </c>
      <c r="C38" s="25" t="s">
        <v>642</v>
      </c>
      <c r="D38" s="25">
        <v>1</v>
      </c>
      <c r="E38" s="25">
        <v>51</v>
      </c>
      <c r="F38" s="25">
        <v>94</v>
      </c>
      <c r="G38" s="25"/>
      <c r="H38" s="25"/>
      <c r="I38" s="25"/>
      <c r="J38" s="25"/>
    </row>
    <row r="39" spans="1:10">
      <c r="A39" s="25" t="s">
        <v>621</v>
      </c>
      <c r="B39" s="25" t="s">
        <v>739</v>
      </c>
      <c r="C39" s="25" t="s">
        <v>642</v>
      </c>
      <c r="D39" s="25">
        <v>3</v>
      </c>
      <c r="E39" s="25">
        <v>43</v>
      </c>
      <c r="F39" s="25">
        <v>84</v>
      </c>
      <c r="G39" s="25"/>
      <c r="H39" s="25"/>
      <c r="I39" s="25"/>
      <c r="J39" s="25"/>
    </row>
    <row r="40" spans="1:10">
      <c r="A40" s="50" t="s">
        <v>622</v>
      </c>
      <c r="B40" s="50" t="s">
        <v>739</v>
      </c>
      <c r="C40" s="50" t="s">
        <v>642</v>
      </c>
      <c r="D40" s="50">
        <v>4</v>
      </c>
      <c r="E40" s="50">
        <v>94</v>
      </c>
      <c r="F40" s="50">
        <v>178</v>
      </c>
      <c r="G40" s="50">
        <v>1.4492753623188406</v>
      </c>
      <c r="H40" s="50">
        <v>34.057971014492757</v>
      </c>
      <c r="I40" s="50">
        <v>64.492753623188406</v>
      </c>
      <c r="J40" s="50">
        <v>276</v>
      </c>
    </row>
    <row r="41" spans="1:10">
      <c r="A41" s="25" t="s">
        <v>623</v>
      </c>
      <c r="B41" s="25" t="s">
        <v>739</v>
      </c>
      <c r="C41" s="25" t="s">
        <v>642</v>
      </c>
      <c r="D41" s="25">
        <v>1</v>
      </c>
      <c r="E41" s="25">
        <v>26</v>
      </c>
      <c r="F41" s="25">
        <v>89</v>
      </c>
      <c r="G41" s="25"/>
      <c r="H41" s="25"/>
      <c r="I41" s="25"/>
      <c r="J41" s="25"/>
    </row>
    <row r="42" spans="1:10">
      <c r="A42" s="25" t="s">
        <v>624</v>
      </c>
      <c r="B42" s="25" t="s">
        <v>739</v>
      </c>
      <c r="C42" s="25" t="s">
        <v>642</v>
      </c>
      <c r="D42" s="25">
        <v>0</v>
      </c>
      <c r="E42" s="25">
        <v>59</v>
      </c>
      <c r="F42" s="25">
        <v>106</v>
      </c>
      <c r="G42" s="25"/>
      <c r="H42" s="25"/>
      <c r="I42" s="25"/>
      <c r="J42" s="25"/>
    </row>
    <row r="43" spans="1:10">
      <c r="A43" s="50" t="s">
        <v>625</v>
      </c>
      <c r="B43" s="50" t="s">
        <v>739</v>
      </c>
      <c r="C43" s="50" t="s">
        <v>642</v>
      </c>
      <c r="D43" s="50">
        <v>1</v>
      </c>
      <c r="E43" s="50">
        <v>85</v>
      </c>
      <c r="F43" s="50">
        <v>195</v>
      </c>
      <c r="G43" s="50">
        <v>0.35587188612099641</v>
      </c>
      <c r="H43" s="50">
        <v>30.2491103202847</v>
      </c>
      <c r="I43" s="50">
        <v>69.395017793594306</v>
      </c>
      <c r="J43" s="50">
        <v>281</v>
      </c>
    </row>
    <row r="44" spans="1:10">
      <c r="A44" s="25" t="s">
        <v>626</v>
      </c>
      <c r="B44" s="25" t="s">
        <v>739</v>
      </c>
      <c r="C44" s="25" t="s">
        <v>642</v>
      </c>
      <c r="D44" s="25">
        <v>1</v>
      </c>
      <c r="E44" s="25">
        <v>49</v>
      </c>
      <c r="F44" s="25">
        <v>112</v>
      </c>
      <c r="G44" s="25"/>
      <c r="H44" s="25"/>
      <c r="I44" s="25"/>
      <c r="J44" s="25"/>
    </row>
    <row r="45" spans="1:10">
      <c r="A45" s="25" t="s">
        <v>627</v>
      </c>
      <c r="B45" s="25" t="s">
        <v>739</v>
      </c>
      <c r="C45" s="25" t="s">
        <v>642</v>
      </c>
      <c r="D45" s="25">
        <v>3</v>
      </c>
      <c r="E45" s="25">
        <v>26</v>
      </c>
      <c r="F45" s="25">
        <v>108</v>
      </c>
      <c r="G45" s="25"/>
      <c r="H45" s="25"/>
      <c r="I45" s="25"/>
      <c r="J45" s="25"/>
    </row>
    <row r="46" spans="1:10">
      <c r="A46" s="50" t="s">
        <v>628</v>
      </c>
      <c r="B46" s="50" t="s">
        <v>739</v>
      </c>
      <c r="C46" s="50" t="s">
        <v>642</v>
      </c>
      <c r="D46" s="50">
        <v>4</v>
      </c>
      <c r="E46" s="50">
        <v>75</v>
      </c>
      <c r="F46" s="50">
        <v>220</v>
      </c>
      <c r="G46" s="50">
        <v>1.3377926421404682</v>
      </c>
      <c r="H46" s="50">
        <v>25.083612040133779</v>
      </c>
      <c r="I46" s="50">
        <v>73.578595317725743</v>
      </c>
      <c r="J46" s="50">
        <v>299</v>
      </c>
    </row>
    <row r="47" spans="1:10">
      <c r="A47" s="25" t="s">
        <v>629</v>
      </c>
      <c r="B47" s="25" t="s">
        <v>739</v>
      </c>
      <c r="C47" s="25" t="s">
        <v>642</v>
      </c>
      <c r="D47" s="25">
        <v>0</v>
      </c>
      <c r="E47" s="25">
        <v>13</v>
      </c>
      <c r="F47" s="25">
        <v>101</v>
      </c>
      <c r="G47" s="25"/>
      <c r="H47" s="25"/>
      <c r="I47" s="25"/>
      <c r="J47" s="25"/>
    </row>
    <row r="48" spans="1:10">
      <c r="A48" s="25" t="s">
        <v>630</v>
      </c>
      <c r="B48" s="25" t="s">
        <v>739</v>
      </c>
      <c r="C48" s="25" t="s">
        <v>642</v>
      </c>
      <c r="D48" s="25">
        <v>0</v>
      </c>
      <c r="E48" s="25">
        <v>18</v>
      </c>
      <c r="F48" s="25">
        <v>119</v>
      </c>
      <c r="G48" s="25"/>
      <c r="H48" s="25"/>
      <c r="I48" s="25"/>
      <c r="J48" s="25"/>
    </row>
    <row r="49" spans="1:10">
      <c r="A49" s="50" t="s">
        <v>631</v>
      </c>
      <c r="B49" s="50" t="s">
        <v>739</v>
      </c>
      <c r="C49" s="50" t="s">
        <v>642</v>
      </c>
      <c r="D49" s="50">
        <v>0</v>
      </c>
      <c r="E49" s="50">
        <v>31</v>
      </c>
      <c r="F49" s="50">
        <v>220</v>
      </c>
      <c r="G49" s="50">
        <v>0</v>
      </c>
      <c r="H49" s="50">
        <v>12.350597609561753</v>
      </c>
      <c r="I49" s="50">
        <v>87.64940239043824</v>
      </c>
      <c r="J49" s="50">
        <v>251</v>
      </c>
    </row>
    <row r="50" spans="1:10">
      <c r="A50" s="25" t="s">
        <v>632</v>
      </c>
      <c r="B50" s="25" t="s">
        <v>739</v>
      </c>
      <c r="C50" s="25" t="s">
        <v>642</v>
      </c>
      <c r="D50" s="25">
        <v>4</v>
      </c>
      <c r="E50" s="25">
        <v>12</v>
      </c>
      <c r="F50" s="25">
        <v>151</v>
      </c>
      <c r="G50" s="25"/>
      <c r="H50" s="25"/>
      <c r="I50" s="25"/>
      <c r="J50" s="25"/>
    </row>
    <row r="51" spans="1:10">
      <c r="A51" s="25" t="s">
        <v>633</v>
      </c>
      <c r="B51" s="25" t="s">
        <v>739</v>
      </c>
      <c r="C51" s="25" t="s">
        <v>642</v>
      </c>
      <c r="D51" s="25">
        <v>2</v>
      </c>
      <c r="E51" s="25">
        <v>30</v>
      </c>
      <c r="F51" s="25">
        <v>98</v>
      </c>
      <c r="G51" s="25"/>
      <c r="H51" s="25"/>
      <c r="I51" s="25"/>
      <c r="J51" s="25"/>
    </row>
    <row r="52" spans="1:10">
      <c r="A52" s="50" t="s">
        <v>634</v>
      </c>
      <c r="B52" s="50" t="s">
        <v>739</v>
      </c>
      <c r="C52" s="50" t="s">
        <v>642</v>
      </c>
      <c r="D52" s="50">
        <v>6</v>
      </c>
      <c r="E52" s="50">
        <v>42</v>
      </c>
      <c r="F52" s="50">
        <v>249</v>
      </c>
      <c r="G52" s="50">
        <v>2.0202020202020203</v>
      </c>
      <c r="H52" s="50">
        <v>14.14141414141414</v>
      </c>
      <c r="I52" s="50">
        <v>83.838383838383834</v>
      </c>
      <c r="J52" s="50">
        <v>297</v>
      </c>
    </row>
    <row r="53" spans="1:10">
      <c r="A53" s="25" t="s">
        <v>635</v>
      </c>
      <c r="B53" s="25" t="s">
        <v>739</v>
      </c>
      <c r="C53" s="25" t="s">
        <v>642</v>
      </c>
      <c r="D53" s="25">
        <v>5</v>
      </c>
      <c r="E53" s="25">
        <v>27</v>
      </c>
      <c r="F53" s="25">
        <v>75</v>
      </c>
      <c r="G53" s="25"/>
      <c r="H53" s="25"/>
      <c r="I53" s="25"/>
      <c r="J53" s="25"/>
    </row>
    <row r="54" spans="1:10">
      <c r="A54" s="25" t="s">
        <v>636</v>
      </c>
      <c r="B54" s="25" t="s">
        <v>739</v>
      </c>
      <c r="C54" s="25" t="s">
        <v>642</v>
      </c>
      <c r="D54" s="25">
        <v>5</v>
      </c>
      <c r="E54" s="25">
        <v>8</v>
      </c>
      <c r="F54" s="25">
        <v>107</v>
      </c>
      <c r="G54" s="25"/>
      <c r="H54" s="25"/>
      <c r="I54" s="25"/>
      <c r="J54" s="25"/>
    </row>
    <row r="55" spans="1:10">
      <c r="A55" s="50" t="s">
        <v>637</v>
      </c>
      <c r="B55" s="50" t="s">
        <v>739</v>
      </c>
      <c r="C55" s="50" t="s">
        <v>642</v>
      </c>
      <c r="D55" s="50">
        <v>10</v>
      </c>
      <c r="E55" s="50">
        <v>35</v>
      </c>
      <c r="F55" s="50">
        <v>182</v>
      </c>
      <c r="G55" s="50">
        <v>4.4052863436123353</v>
      </c>
      <c r="H55" s="50">
        <v>15.418502202643172</v>
      </c>
      <c r="I55" s="50">
        <v>80.1762114537445</v>
      </c>
      <c r="J55" s="50">
        <v>227</v>
      </c>
    </row>
    <row r="56" spans="1:10">
      <c r="A56" s="25" t="s">
        <v>638</v>
      </c>
      <c r="B56" s="25" t="s">
        <v>739</v>
      </c>
      <c r="C56" s="25" t="s">
        <v>642</v>
      </c>
      <c r="D56" s="25">
        <v>5</v>
      </c>
      <c r="E56" s="25">
        <v>16</v>
      </c>
      <c r="F56" s="25">
        <v>136</v>
      </c>
      <c r="G56" s="25"/>
      <c r="H56" s="25"/>
      <c r="I56" s="25"/>
      <c r="J56" s="25"/>
    </row>
    <row r="57" spans="1:10">
      <c r="A57" s="25" t="s">
        <v>639</v>
      </c>
      <c r="B57" s="25" t="s">
        <v>739</v>
      </c>
      <c r="C57" s="25" t="s">
        <v>642</v>
      </c>
      <c r="D57" s="25">
        <v>0</v>
      </c>
      <c r="E57" s="25">
        <v>14</v>
      </c>
      <c r="F57" s="25">
        <v>110</v>
      </c>
      <c r="G57" s="25"/>
      <c r="H57" s="25"/>
      <c r="I57" s="25"/>
      <c r="J57" s="25"/>
    </row>
    <row r="58" spans="1:10">
      <c r="A58" s="50" t="s">
        <v>640</v>
      </c>
      <c r="B58" s="50" t="s">
        <v>739</v>
      </c>
      <c r="C58" s="50" t="s">
        <v>642</v>
      </c>
      <c r="D58" s="50">
        <v>5</v>
      </c>
      <c r="E58" s="50">
        <v>30</v>
      </c>
      <c r="F58" s="50">
        <v>246</v>
      </c>
      <c r="G58" s="50">
        <v>1.7793594306049825</v>
      </c>
      <c r="H58" s="50">
        <v>10.676156583629894</v>
      </c>
      <c r="I58" s="50">
        <v>87.544483985765126</v>
      </c>
      <c r="J58" s="50">
        <v>281</v>
      </c>
    </row>
    <row r="59" spans="1:10">
      <c r="A59" s="16" t="s">
        <v>299</v>
      </c>
      <c r="B59" s="45"/>
      <c r="C59" s="35"/>
      <c r="D59" s="45"/>
      <c r="F59" s="51" t="s">
        <v>22</v>
      </c>
      <c r="G59" s="52">
        <v>5.292994494759518</v>
      </c>
      <c r="H59" s="52">
        <v>17.44938311914315</v>
      </c>
      <c r="I59" s="52">
        <v>77.257622386097339</v>
      </c>
      <c r="J59" s="53" t="s">
        <v>492</v>
      </c>
    </row>
    <row r="60" spans="1:10">
      <c r="A60" s="35"/>
      <c r="B60" s="45"/>
      <c r="C60" s="35"/>
      <c r="D60" s="45"/>
      <c r="F60" s="51" t="s">
        <v>570</v>
      </c>
      <c r="G60" s="52">
        <v>7.5142795076909197</v>
      </c>
      <c r="H60" s="52">
        <v>9.8869004754513092</v>
      </c>
      <c r="I60" s="52">
        <v>8.1483690481681688</v>
      </c>
      <c r="J60" s="54">
        <v>2575</v>
      </c>
    </row>
    <row r="67" spans="1:10">
      <c r="A67" s="41">
        <v>1</v>
      </c>
      <c r="B67" s="17" t="s">
        <v>49</v>
      </c>
      <c r="C67" s="17" t="s">
        <v>642</v>
      </c>
      <c r="D67" s="17">
        <v>0</v>
      </c>
      <c r="E67" s="17">
        <v>0</v>
      </c>
      <c r="F67" s="17">
        <v>3</v>
      </c>
      <c r="G67" s="17">
        <v>0</v>
      </c>
      <c r="H67" s="17">
        <v>0</v>
      </c>
      <c r="I67" s="17">
        <v>100</v>
      </c>
      <c r="J67" s="17">
        <v>3</v>
      </c>
    </row>
    <row r="68" spans="1:10">
      <c r="A68" s="41">
        <v>2</v>
      </c>
      <c r="B68" s="17" t="s">
        <v>49</v>
      </c>
      <c r="C68" s="17" t="s">
        <v>642</v>
      </c>
      <c r="D68" s="17">
        <v>0</v>
      </c>
      <c r="E68" s="17">
        <v>0</v>
      </c>
      <c r="F68" s="17">
        <v>4</v>
      </c>
      <c r="G68" s="17">
        <v>0</v>
      </c>
      <c r="H68" s="17">
        <v>0</v>
      </c>
      <c r="I68" s="17">
        <v>100</v>
      </c>
      <c r="J68" s="17">
        <v>4</v>
      </c>
    </row>
    <row r="69" spans="1:10">
      <c r="A69" s="55">
        <v>3</v>
      </c>
      <c r="B69" s="17" t="s">
        <v>49</v>
      </c>
      <c r="C69" s="17" t="s">
        <v>642</v>
      </c>
      <c r="D69" s="17">
        <v>0</v>
      </c>
      <c r="E69" s="17">
        <v>0</v>
      </c>
      <c r="F69" s="17">
        <v>3</v>
      </c>
      <c r="G69" s="17">
        <v>0</v>
      </c>
      <c r="H69" s="17">
        <v>0</v>
      </c>
      <c r="I69" s="17">
        <v>100</v>
      </c>
      <c r="J69" s="17">
        <v>3</v>
      </c>
    </row>
    <row r="70" spans="1:10">
      <c r="A70" s="41">
        <v>4</v>
      </c>
      <c r="B70" s="17" t="s">
        <v>49</v>
      </c>
      <c r="C70" s="17" t="s">
        <v>642</v>
      </c>
      <c r="D70" s="17">
        <v>0</v>
      </c>
      <c r="E70" s="17">
        <v>0</v>
      </c>
      <c r="F70" s="17">
        <v>1</v>
      </c>
      <c r="G70" s="17">
        <v>0</v>
      </c>
      <c r="H70" s="17">
        <v>0</v>
      </c>
      <c r="I70" s="17">
        <v>100</v>
      </c>
      <c r="J70" s="17">
        <v>1</v>
      </c>
    </row>
    <row r="71" spans="1:10">
      <c r="A71" s="41">
        <v>5</v>
      </c>
      <c r="B71" s="17" t="s">
        <v>49</v>
      </c>
      <c r="C71" s="17" t="s">
        <v>642</v>
      </c>
      <c r="D71" s="17">
        <v>0</v>
      </c>
      <c r="E71" s="17">
        <v>0</v>
      </c>
      <c r="F71" s="17">
        <v>2</v>
      </c>
      <c r="G71" s="17">
        <v>0</v>
      </c>
      <c r="H71" s="17">
        <v>0</v>
      </c>
      <c r="I71" s="17">
        <v>100</v>
      </c>
      <c r="J71" s="17">
        <v>2</v>
      </c>
    </row>
    <row r="72" spans="1:10">
      <c r="A72" s="55">
        <v>6</v>
      </c>
      <c r="B72" s="17" t="s">
        <v>49</v>
      </c>
      <c r="C72" s="17" t="s">
        <v>642</v>
      </c>
      <c r="D72" s="17">
        <v>0</v>
      </c>
      <c r="E72" s="17">
        <v>0</v>
      </c>
      <c r="F72" s="17">
        <v>3</v>
      </c>
      <c r="G72" s="17">
        <v>0</v>
      </c>
      <c r="H72" s="17">
        <v>0</v>
      </c>
      <c r="I72" s="17">
        <v>100</v>
      </c>
      <c r="J72" s="17">
        <v>3</v>
      </c>
    </row>
    <row r="73" spans="1:10">
      <c r="A73" s="41">
        <v>7</v>
      </c>
      <c r="B73" s="17" t="s">
        <v>49</v>
      </c>
      <c r="C73" s="17" t="s">
        <v>642</v>
      </c>
      <c r="D73" s="17">
        <v>0</v>
      </c>
      <c r="E73" s="17">
        <v>0</v>
      </c>
      <c r="F73" s="17">
        <v>3</v>
      </c>
      <c r="G73" s="17">
        <v>0</v>
      </c>
      <c r="H73" s="17">
        <v>0</v>
      </c>
      <c r="I73" s="17">
        <v>100</v>
      </c>
      <c r="J73" s="17">
        <v>3</v>
      </c>
    </row>
    <row r="74" spans="1:10">
      <c r="A74" s="41">
        <v>8</v>
      </c>
      <c r="B74" s="17" t="s">
        <v>49</v>
      </c>
      <c r="C74" s="17" t="s">
        <v>642</v>
      </c>
      <c r="D74" s="17">
        <v>0</v>
      </c>
      <c r="E74" s="17">
        <v>0</v>
      </c>
      <c r="F74" s="17">
        <v>3</v>
      </c>
      <c r="G74" s="17">
        <v>0</v>
      </c>
      <c r="H74" s="17">
        <v>0</v>
      </c>
      <c r="I74" s="17">
        <v>100</v>
      </c>
      <c r="J74" s="17">
        <v>3</v>
      </c>
    </row>
    <row r="75" spans="1:10">
      <c r="A75" s="55">
        <v>9</v>
      </c>
      <c r="B75" s="17" t="s">
        <v>49</v>
      </c>
      <c r="C75" s="17" t="s">
        <v>642</v>
      </c>
      <c r="D75" s="17">
        <v>0</v>
      </c>
      <c r="E75" s="17">
        <v>0</v>
      </c>
      <c r="F75" s="17">
        <v>3</v>
      </c>
      <c r="G75" s="17">
        <v>0</v>
      </c>
      <c r="H75" s="17">
        <v>0</v>
      </c>
      <c r="I75" s="17">
        <v>100</v>
      </c>
      <c r="J75" s="17">
        <v>3</v>
      </c>
    </row>
    <row r="76" spans="1:10">
      <c r="A76" s="41">
        <v>10</v>
      </c>
      <c r="B76" s="17" t="s">
        <v>49</v>
      </c>
      <c r="C76" s="17" t="s">
        <v>642</v>
      </c>
      <c r="D76" s="17">
        <v>0</v>
      </c>
      <c r="E76" s="17">
        <v>0</v>
      </c>
      <c r="F76" s="17">
        <v>2</v>
      </c>
      <c r="G76" s="17">
        <v>0</v>
      </c>
      <c r="H76" s="17">
        <v>0</v>
      </c>
      <c r="I76" s="17">
        <v>100</v>
      </c>
      <c r="J76" s="17">
        <v>2</v>
      </c>
    </row>
    <row r="77" spans="1:10">
      <c r="A77" s="41">
        <v>11</v>
      </c>
      <c r="B77" s="17" t="s">
        <v>49</v>
      </c>
      <c r="C77" s="17" t="s">
        <v>642</v>
      </c>
      <c r="D77" s="17">
        <v>0</v>
      </c>
      <c r="E77" s="17">
        <v>0</v>
      </c>
      <c r="F77" s="17">
        <v>2</v>
      </c>
      <c r="G77" s="17">
        <v>0</v>
      </c>
      <c r="H77" s="17">
        <v>0</v>
      </c>
      <c r="I77" s="17">
        <v>100</v>
      </c>
      <c r="J77" s="17">
        <v>2</v>
      </c>
    </row>
    <row r="78" spans="1:10">
      <c r="A78" s="55">
        <v>12</v>
      </c>
      <c r="B78" s="17" t="s">
        <v>49</v>
      </c>
      <c r="C78" s="17" t="s">
        <v>642</v>
      </c>
      <c r="D78" s="17">
        <v>0</v>
      </c>
      <c r="E78" s="17">
        <v>0</v>
      </c>
      <c r="F78" s="17">
        <v>2</v>
      </c>
      <c r="G78" s="17">
        <v>0</v>
      </c>
      <c r="H78" s="17">
        <v>0</v>
      </c>
      <c r="I78" s="17">
        <v>100</v>
      </c>
      <c r="J78" s="17">
        <v>2</v>
      </c>
    </row>
    <row r="79" spans="1:10">
      <c r="A79" s="41">
        <v>13</v>
      </c>
      <c r="B79" s="17" t="s">
        <v>49</v>
      </c>
      <c r="C79" s="17" t="s">
        <v>642</v>
      </c>
      <c r="D79" s="17">
        <v>0</v>
      </c>
      <c r="E79" s="17">
        <v>0</v>
      </c>
      <c r="F79" s="17">
        <v>3</v>
      </c>
      <c r="G79" s="17">
        <v>0</v>
      </c>
      <c r="H79" s="17">
        <v>0</v>
      </c>
      <c r="I79" s="17">
        <v>100</v>
      </c>
      <c r="J79" s="17">
        <v>3</v>
      </c>
    </row>
    <row r="80" spans="1:10">
      <c r="A80" s="41">
        <v>14</v>
      </c>
      <c r="B80" s="17" t="s">
        <v>49</v>
      </c>
      <c r="C80" s="17" t="s">
        <v>642</v>
      </c>
      <c r="D80" s="17">
        <v>0</v>
      </c>
      <c r="E80" s="17">
        <v>0</v>
      </c>
      <c r="F80" s="17">
        <v>3</v>
      </c>
      <c r="G80" s="17">
        <v>0</v>
      </c>
      <c r="H80" s="17">
        <v>0</v>
      </c>
      <c r="I80" s="17">
        <v>100</v>
      </c>
      <c r="J80" s="17">
        <v>3</v>
      </c>
    </row>
    <row r="81" spans="1:10">
      <c r="A81" s="55">
        <v>15</v>
      </c>
      <c r="B81" s="17" t="s">
        <v>49</v>
      </c>
      <c r="C81" s="17" t="s">
        <v>642</v>
      </c>
      <c r="D81" s="17">
        <v>0</v>
      </c>
      <c r="E81" s="17">
        <v>0</v>
      </c>
      <c r="F81" s="17">
        <v>3</v>
      </c>
      <c r="G81" s="17">
        <v>0</v>
      </c>
      <c r="H81" s="17">
        <v>0</v>
      </c>
      <c r="I81" s="17">
        <v>100</v>
      </c>
      <c r="J81" s="17">
        <v>3</v>
      </c>
    </row>
    <row r="82" spans="1:10">
      <c r="A82" s="41">
        <v>16</v>
      </c>
      <c r="B82" s="17" t="s">
        <v>49</v>
      </c>
      <c r="C82" s="17" t="s">
        <v>642</v>
      </c>
      <c r="D82" s="17">
        <v>0</v>
      </c>
      <c r="E82" s="17">
        <v>0</v>
      </c>
      <c r="F82" s="17">
        <v>4</v>
      </c>
      <c r="G82" s="17">
        <v>0</v>
      </c>
      <c r="H82" s="17">
        <v>0</v>
      </c>
      <c r="I82" s="17">
        <v>100</v>
      </c>
      <c r="J82" s="17">
        <v>4</v>
      </c>
    </row>
    <row r="83" spans="1:10">
      <c r="A83" s="41">
        <v>17</v>
      </c>
      <c r="B83" s="17" t="s">
        <v>49</v>
      </c>
      <c r="C83" s="17" t="s">
        <v>642</v>
      </c>
      <c r="D83" s="17">
        <v>0</v>
      </c>
      <c r="E83" s="17">
        <v>0</v>
      </c>
      <c r="F83" s="17">
        <v>4</v>
      </c>
      <c r="G83" s="17">
        <v>0</v>
      </c>
      <c r="H83" s="17">
        <v>0</v>
      </c>
      <c r="I83" s="17">
        <v>100</v>
      </c>
      <c r="J83" s="17">
        <v>4</v>
      </c>
    </row>
    <row r="84" spans="1:10">
      <c r="A84" s="55">
        <v>18</v>
      </c>
      <c r="B84" s="17" t="s">
        <v>49</v>
      </c>
      <c r="C84" s="17" t="s">
        <v>642</v>
      </c>
      <c r="D84" s="17">
        <v>0</v>
      </c>
      <c r="E84" s="17">
        <v>0</v>
      </c>
      <c r="F84" s="17">
        <v>3</v>
      </c>
      <c r="G84" s="17">
        <v>0</v>
      </c>
      <c r="H84" s="17">
        <v>0</v>
      </c>
      <c r="I84" s="17">
        <v>100</v>
      </c>
      <c r="J84" s="17">
        <v>3</v>
      </c>
    </row>
    <row r="85" spans="1:10">
      <c r="A85" s="41">
        <v>19</v>
      </c>
      <c r="B85" s="17" t="s">
        <v>49</v>
      </c>
      <c r="C85" s="17" t="s">
        <v>642</v>
      </c>
      <c r="D85" s="17">
        <v>0</v>
      </c>
      <c r="E85" s="17">
        <v>0</v>
      </c>
      <c r="F85" s="17">
        <v>2</v>
      </c>
      <c r="G85" s="17">
        <v>0</v>
      </c>
      <c r="H85" s="17">
        <v>0</v>
      </c>
      <c r="I85" s="17">
        <v>100</v>
      </c>
      <c r="J85" s="17">
        <v>2</v>
      </c>
    </row>
    <row r="86" spans="1:10">
      <c r="A86" s="41">
        <v>20</v>
      </c>
      <c r="B86" s="17" t="s">
        <v>49</v>
      </c>
      <c r="C86" s="17" t="s">
        <v>642</v>
      </c>
      <c r="D86" s="17">
        <v>0</v>
      </c>
      <c r="E86" s="17">
        <v>0</v>
      </c>
      <c r="F86" s="17">
        <v>2</v>
      </c>
      <c r="G86" s="17">
        <v>0</v>
      </c>
      <c r="H86" s="17">
        <v>0</v>
      </c>
      <c r="I86" s="17">
        <v>100</v>
      </c>
      <c r="J86" s="17">
        <v>2</v>
      </c>
    </row>
    <row r="87" spans="1:10">
      <c r="A87" s="55">
        <v>21</v>
      </c>
      <c r="B87" s="17" t="s">
        <v>49</v>
      </c>
      <c r="C87" s="17" t="s">
        <v>642</v>
      </c>
      <c r="D87" s="17">
        <v>0</v>
      </c>
      <c r="E87" s="17">
        <v>2</v>
      </c>
      <c r="F87" s="17">
        <v>2</v>
      </c>
      <c r="G87" s="17">
        <v>0</v>
      </c>
      <c r="H87" s="17">
        <v>50</v>
      </c>
      <c r="I87" s="17">
        <v>50</v>
      </c>
      <c r="J87" s="17">
        <v>4</v>
      </c>
    </row>
    <row r="88" spans="1:10">
      <c r="A88" s="41">
        <v>22</v>
      </c>
      <c r="B88" s="17" t="s">
        <v>49</v>
      </c>
      <c r="C88" s="17" t="s">
        <v>642</v>
      </c>
      <c r="D88" s="17">
        <v>0</v>
      </c>
      <c r="E88" s="17">
        <v>1</v>
      </c>
      <c r="F88" s="17">
        <v>2</v>
      </c>
      <c r="G88" s="17">
        <v>0</v>
      </c>
      <c r="H88" s="17">
        <v>33.333333333333329</v>
      </c>
      <c r="I88" s="17">
        <v>66.666666666666657</v>
      </c>
      <c r="J88" s="17">
        <v>3</v>
      </c>
    </row>
    <row r="89" spans="1:10">
      <c r="A89" s="41">
        <v>23</v>
      </c>
      <c r="B89" s="17" t="s">
        <v>49</v>
      </c>
      <c r="C89" s="17" t="s">
        <v>642</v>
      </c>
      <c r="D89" s="17">
        <v>0</v>
      </c>
      <c r="E89" s="17">
        <v>0</v>
      </c>
      <c r="F89" s="17">
        <v>4</v>
      </c>
      <c r="G89" s="17">
        <v>0</v>
      </c>
      <c r="H89" s="17">
        <v>0</v>
      </c>
      <c r="I89" s="17">
        <v>100</v>
      </c>
      <c r="J89" s="17">
        <v>4</v>
      </c>
    </row>
    <row r="90" spans="1:10">
      <c r="A90" s="55">
        <v>24</v>
      </c>
      <c r="B90" s="17" t="s">
        <v>49</v>
      </c>
      <c r="C90" s="17" t="s">
        <v>642</v>
      </c>
      <c r="D90" s="17">
        <v>0</v>
      </c>
      <c r="E90" s="17">
        <v>0</v>
      </c>
      <c r="F90" s="17">
        <v>1</v>
      </c>
      <c r="G90" s="17">
        <v>0</v>
      </c>
      <c r="H90" s="17">
        <v>0</v>
      </c>
      <c r="I90" s="17">
        <v>100</v>
      </c>
      <c r="J90" s="17">
        <v>1</v>
      </c>
    </row>
    <row r="91" spans="1:10">
      <c r="A91" s="41">
        <v>25</v>
      </c>
      <c r="B91" s="17" t="s">
        <v>49</v>
      </c>
      <c r="C91" s="17" t="s">
        <v>642</v>
      </c>
      <c r="D91" s="17">
        <v>0</v>
      </c>
      <c r="E91" s="17">
        <v>0</v>
      </c>
      <c r="F91" s="17">
        <v>2</v>
      </c>
      <c r="G91" s="17">
        <v>0</v>
      </c>
      <c r="H91" s="17">
        <v>0</v>
      </c>
      <c r="I91" s="17">
        <v>100</v>
      </c>
      <c r="J91" s="17">
        <v>2</v>
      </c>
    </row>
    <row r="92" spans="1:10">
      <c r="A92" s="41">
        <v>26</v>
      </c>
      <c r="B92" s="17" t="s">
        <v>49</v>
      </c>
      <c r="C92" s="17" t="s">
        <v>642</v>
      </c>
      <c r="D92" s="17">
        <v>0</v>
      </c>
      <c r="E92" s="17">
        <v>0</v>
      </c>
      <c r="F92" s="17">
        <v>2</v>
      </c>
      <c r="G92" s="17">
        <v>0</v>
      </c>
      <c r="H92" s="17">
        <v>0</v>
      </c>
      <c r="I92" s="17">
        <v>100</v>
      </c>
      <c r="J92" s="17">
        <v>2</v>
      </c>
    </row>
    <row r="93" spans="1:10">
      <c r="A93" s="55">
        <v>27</v>
      </c>
      <c r="B93" s="17" t="s">
        <v>49</v>
      </c>
      <c r="C93" s="17" t="s">
        <v>642</v>
      </c>
      <c r="D93" s="17">
        <v>0</v>
      </c>
      <c r="E93" s="17">
        <v>0</v>
      </c>
      <c r="F93" s="17">
        <v>2</v>
      </c>
      <c r="G93" s="17">
        <v>0</v>
      </c>
      <c r="H93" s="17">
        <v>0</v>
      </c>
      <c r="I93" s="17">
        <v>100</v>
      </c>
      <c r="J93" s="17">
        <v>2</v>
      </c>
    </row>
    <row r="94" spans="1:10">
      <c r="A94" s="41">
        <v>28</v>
      </c>
      <c r="B94" s="17" t="s">
        <v>49</v>
      </c>
      <c r="C94" s="17" t="s">
        <v>642</v>
      </c>
      <c r="D94" s="17">
        <v>0</v>
      </c>
      <c r="E94" s="17">
        <v>0</v>
      </c>
      <c r="F94" s="17">
        <v>3</v>
      </c>
      <c r="G94" s="17">
        <v>0</v>
      </c>
      <c r="H94" s="17">
        <v>0</v>
      </c>
      <c r="I94" s="17">
        <v>100</v>
      </c>
      <c r="J94" s="17">
        <v>3</v>
      </c>
    </row>
    <row r="95" spans="1:10">
      <c r="A95" s="41">
        <v>29</v>
      </c>
      <c r="B95" s="17" t="s">
        <v>49</v>
      </c>
      <c r="C95" s="17" t="s">
        <v>642</v>
      </c>
      <c r="D95" s="17">
        <v>0</v>
      </c>
      <c r="E95" s="17">
        <v>0</v>
      </c>
      <c r="F95" s="17">
        <v>1</v>
      </c>
      <c r="G95" s="17">
        <v>0</v>
      </c>
      <c r="H95" s="17">
        <v>0</v>
      </c>
      <c r="I95" s="17">
        <v>100</v>
      </c>
      <c r="J95" s="17">
        <v>1</v>
      </c>
    </row>
    <row r="96" spans="1:10">
      <c r="A96" s="55">
        <v>30</v>
      </c>
      <c r="B96" s="17" t="s">
        <v>49</v>
      </c>
      <c r="C96" s="17" t="s">
        <v>642</v>
      </c>
      <c r="D96" s="17">
        <v>0</v>
      </c>
      <c r="E96" s="17">
        <v>0</v>
      </c>
      <c r="F96" s="17">
        <v>3</v>
      </c>
      <c r="G96" s="17">
        <v>0</v>
      </c>
      <c r="H96" s="17">
        <v>0</v>
      </c>
      <c r="I96" s="17">
        <v>100</v>
      </c>
      <c r="J96" s="17">
        <v>3</v>
      </c>
    </row>
    <row r="97" spans="1:10">
      <c r="A97" s="41">
        <v>31</v>
      </c>
      <c r="B97" s="17" t="s">
        <v>49</v>
      </c>
      <c r="C97" s="17" t="s">
        <v>642</v>
      </c>
      <c r="D97" s="17">
        <v>0</v>
      </c>
      <c r="E97" s="17">
        <v>0</v>
      </c>
      <c r="F97" s="17">
        <v>2</v>
      </c>
      <c r="G97" s="17">
        <v>0</v>
      </c>
      <c r="H97" s="17">
        <v>0</v>
      </c>
      <c r="I97" s="17">
        <v>100</v>
      </c>
      <c r="J97" s="17">
        <v>2</v>
      </c>
    </row>
    <row r="98" spans="1:10">
      <c r="A98" s="41">
        <v>32</v>
      </c>
      <c r="B98" s="17" t="s">
        <v>49</v>
      </c>
      <c r="C98" s="17" t="s">
        <v>642</v>
      </c>
      <c r="D98" s="17">
        <v>0</v>
      </c>
      <c r="E98" s="17">
        <v>0</v>
      </c>
      <c r="F98" s="17">
        <v>2</v>
      </c>
      <c r="G98" s="17">
        <v>0</v>
      </c>
      <c r="H98" s="17">
        <v>0</v>
      </c>
      <c r="I98" s="17">
        <v>100</v>
      </c>
      <c r="J98" s="17">
        <v>2</v>
      </c>
    </row>
    <row r="99" spans="1:10">
      <c r="A99" s="55">
        <v>33</v>
      </c>
      <c r="B99" s="17" t="s">
        <v>49</v>
      </c>
      <c r="C99" s="17" t="s">
        <v>642</v>
      </c>
      <c r="D99" s="17">
        <v>0</v>
      </c>
      <c r="E99" s="17">
        <v>0</v>
      </c>
      <c r="F99" s="17">
        <v>1</v>
      </c>
      <c r="G99" s="17">
        <v>0</v>
      </c>
      <c r="H99" s="17">
        <v>0</v>
      </c>
      <c r="I99" s="17">
        <v>100</v>
      </c>
      <c r="J99" s="17">
        <v>1</v>
      </c>
    </row>
    <row r="100" spans="1:10">
      <c r="A100" s="41">
        <v>34</v>
      </c>
      <c r="B100" s="17" t="s">
        <v>49</v>
      </c>
      <c r="C100" s="17" t="s">
        <v>642</v>
      </c>
      <c r="D100" s="17">
        <v>0</v>
      </c>
      <c r="E100" s="17">
        <v>0</v>
      </c>
      <c r="F100" s="17">
        <v>1</v>
      </c>
      <c r="G100" s="17">
        <v>0</v>
      </c>
      <c r="H100" s="17">
        <v>0</v>
      </c>
      <c r="I100" s="17">
        <v>100</v>
      </c>
      <c r="J100" s="17">
        <v>1</v>
      </c>
    </row>
    <row r="101" spans="1:10">
      <c r="A101" s="41">
        <v>35</v>
      </c>
      <c r="B101" s="17" t="s">
        <v>49</v>
      </c>
      <c r="C101" s="17" t="s">
        <v>642</v>
      </c>
      <c r="D101" s="17">
        <v>0</v>
      </c>
      <c r="E101" s="17">
        <v>0</v>
      </c>
      <c r="F101" s="17">
        <v>3</v>
      </c>
      <c r="G101" s="17">
        <v>0</v>
      </c>
      <c r="H101" s="17">
        <v>0</v>
      </c>
      <c r="I101" s="17">
        <v>100</v>
      </c>
      <c r="J101" s="17">
        <v>3</v>
      </c>
    </row>
    <row r="102" spans="1:10">
      <c r="A102" s="55">
        <v>36</v>
      </c>
      <c r="B102" s="17" t="s">
        <v>49</v>
      </c>
      <c r="C102" s="17" t="s">
        <v>642</v>
      </c>
      <c r="D102" s="17">
        <v>0</v>
      </c>
      <c r="E102" s="17">
        <v>0</v>
      </c>
      <c r="F102" s="17">
        <v>3</v>
      </c>
      <c r="G102" s="17">
        <v>0</v>
      </c>
      <c r="H102" s="17">
        <v>0</v>
      </c>
      <c r="I102" s="17">
        <v>100</v>
      </c>
      <c r="J102" s="17">
        <v>3</v>
      </c>
    </row>
    <row r="103" spans="1:10">
      <c r="A103" s="41">
        <v>37</v>
      </c>
      <c r="B103" s="17" t="s">
        <v>49</v>
      </c>
      <c r="C103" s="17" t="s">
        <v>642</v>
      </c>
      <c r="D103" s="17">
        <v>0</v>
      </c>
      <c r="E103" s="17">
        <v>0</v>
      </c>
      <c r="F103" s="17">
        <v>1</v>
      </c>
      <c r="G103" s="17">
        <v>0</v>
      </c>
      <c r="H103" s="17">
        <v>0</v>
      </c>
      <c r="I103" s="17">
        <v>100</v>
      </c>
      <c r="J103" s="17">
        <v>1</v>
      </c>
    </row>
    <row r="104" spans="1:10">
      <c r="A104" s="41">
        <v>38</v>
      </c>
      <c r="B104" s="17" t="s">
        <v>49</v>
      </c>
      <c r="C104" s="17" t="s">
        <v>642</v>
      </c>
      <c r="D104" s="17">
        <v>0</v>
      </c>
      <c r="E104" s="17">
        <v>0</v>
      </c>
      <c r="F104" s="17">
        <v>2</v>
      </c>
      <c r="G104" s="17">
        <v>0</v>
      </c>
      <c r="H104" s="17">
        <v>0</v>
      </c>
      <c r="I104" s="17">
        <v>100</v>
      </c>
      <c r="J104" s="17">
        <v>2</v>
      </c>
    </row>
    <row r="105" spans="1:10">
      <c r="A105" s="55">
        <v>39</v>
      </c>
      <c r="B105" s="17" t="s">
        <v>49</v>
      </c>
      <c r="C105" s="17" t="s">
        <v>642</v>
      </c>
      <c r="D105" s="17">
        <v>0</v>
      </c>
      <c r="E105" s="17">
        <v>1</v>
      </c>
      <c r="F105" s="17">
        <v>2</v>
      </c>
      <c r="G105" s="17">
        <v>0</v>
      </c>
      <c r="H105" s="17">
        <v>33.333333333333329</v>
      </c>
      <c r="I105" s="17">
        <v>66.666666666666657</v>
      </c>
      <c r="J105" s="17">
        <v>3</v>
      </c>
    </row>
    <row r="106" spans="1:10">
      <c r="A106" s="41">
        <v>40</v>
      </c>
      <c r="B106" s="17" t="s">
        <v>49</v>
      </c>
      <c r="C106" s="17" t="s">
        <v>642</v>
      </c>
      <c r="D106" s="17">
        <v>0</v>
      </c>
      <c r="E106" s="17">
        <v>0</v>
      </c>
      <c r="F106" s="17">
        <v>3</v>
      </c>
      <c r="G106" s="17">
        <v>0</v>
      </c>
      <c r="H106" s="17">
        <v>0</v>
      </c>
      <c r="I106" s="17">
        <v>100</v>
      </c>
      <c r="J106" s="17">
        <v>3</v>
      </c>
    </row>
    <row r="107" spans="1:10">
      <c r="A107" s="41">
        <v>41</v>
      </c>
      <c r="B107" s="17" t="s">
        <v>49</v>
      </c>
      <c r="C107" s="17" t="s">
        <v>642</v>
      </c>
      <c r="D107" s="17">
        <v>0</v>
      </c>
      <c r="E107" s="17">
        <v>0</v>
      </c>
      <c r="F107" s="17">
        <v>3</v>
      </c>
      <c r="G107" s="17">
        <v>0</v>
      </c>
      <c r="H107" s="17">
        <v>0</v>
      </c>
      <c r="I107" s="17">
        <v>100</v>
      </c>
      <c r="J107" s="17">
        <v>3</v>
      </c>
    </row>
    <row r="108" spans="1:10">
      <c r="A108" s="55">
        <v>42</v>
      </c>
      <c r="B108" s="17" t="s">
        <v>49</v>
      </c>
      <c r="C108" s="17" t="s">
        <v>642</v>
      </c>
      <c r="D108" s="17">
        <v>0</v>
      </c>
      <c r="E108" s="17">
        <v>0</v>
      </c>
      <c r="F108" s="17">
        <v>3</v>
      </c>
      <c r="G108" s="17">
        <v>0</v>
      </c>
      <c r="H108" s="17">
        <v>0</v>
      </c>
      <c r="I108" s="17">
        <v>100</v>
      </c>
      <c r="J108" s="17">
        <v>3</v>
      </c>
    </row>
    <row r="109" spans="1:10">
      <c r="A109" s="41">
        <v>43</v>
      </c>
      <c r="B109" s="17" t="s">
        <v>49</v>
      </c>
      <c r="C109" s="17" t="s">
        <v>642</v>
      </c>
      <c r="D109" s="17">
        <v>0</v>
      </c>
      <c r="E109" s="17">
        <v>0</v>
      </c>
      <c r="F109" s="17">
        <v>2</v>
      </c>
      <c r="G109" s="17">
        <v>0</v>
      </c>
      <c r="H109" s="17">
        <v>0</v>
      </c>
      <c r="I109" s="17">
        <v>100</v>
      </c>
      <c r="J109" s="17">
        <v>2</v>
      </c>
    </row>
    <row r="110" spans="1:10">
      <c r="A110" s="41">
        <v>44</v>
      </c>
      <c r="B110" s="17" t="s">
        <v>49</v>
      </c>
      <c r="C110" s="17" t="s">
        <v>642</v>
      </c>
      <c r="D110" s="17">
        <v>0</v>
      </c>
      <c r="E110" s="17">
        <v>0</v>
      </c>
      <c r="F110" s="17">
        <v>2</v>
      </c>
      <c r="G110" s="17">
        <v>0</v>
      </c>
      <c r="H110" s="17">
        <v>0</v>
      </c>
      <c r="I110" s="17">
        <v>100</v>
      </c>
      <c r="J110" s="17">
        <v>2</v>
      </c>
    </row>
    <row r="111" spans="1:10">
      <c r="A111" s="55">
        <v>45</v>
      </c>
      <c r="B111" s="17" t="s">
        <v>49</v>
      </c>
      <c r="C111" s="17" t="s">
        <v>642</v>
      </c>
      <c r="D111" s="17">
        <v>0</v>
      </c>
      <c r="E111" s="17">
        <v>0</v>
      </c>
      <c r="F111" s="17">
        <v>3</v>
      </c>
      <c r="G111" s="17">
        <v>0</v>
      </c>
      <c r="H111" s="17">
        <v>0</v>
      </c>
      <c r="I111" s="17">
        <v>100</v>
      </c>
      <c r="J111" s="17">
        <v>3</v>
      </c>
    </row>
    <row r="112" spans="1:10">
      <c r="A112" s="41">
        <v>46</v>
      </c>
      <c r="B112" s="17" t="s">
        <v>49</v>
      </c>
      <c r="C112" s="17" t="s">
        <v>642</v>
      </c>
      <c r="D112" s="17">
        <v>0</v>
      </c>
      <c r="E112" s="17">
        <v>0</v>
      </c>
      <c r="F112" s="17">
        <v>3</v>
      </c>
      <c r="G112" s="17">
        <v>0</v>
      </c>
      <c r="H112" s="17">
        <v>0</v>
      </c>
      <c r="I112" s="17">
        <v>100</v>
      </c>
      <c r="J112" s="17">
        <v>3</v>
      </c>
    </row>
    <row r="113" spans="1:10">
      <c r="A113" s="41">
        <v>47</v>
      </c>
      <c r="B113" s="17" t="s">
        <v>49</v>
      </c>
      <c r="C113" s="17" t="s">
        <v>642</v>
      </c>
      <c r="D113" s="17">
        <v>0</v>
      </c>
      <c r="E113" s="17">
        <v>1</v>
      </c>
      <c r="F113" s="17">
        <v>2</v>
      </c>
      <c r="G113" s="17">
        <v>0</v>
      </c>
      <c r="H113" s="17">
        <v>33.333333333333329</v>
      </c>
      <c r="I113" s="17">
        <v>66.666666666666657</v>
      </c>
      <c r="J113" s="17">
        <v>3</v>
      </c>
    </row>
    <row r="114" spans="1:10">
      <c r="A114" s="55">
        <v>48</v>
      </c>
      <c r="B114" s="17" t="s">
        <v>49</v>
      </c>
      <c r="C114" s="17" t="s">
        <v>642</v>
      </c>
      <c r="D114" s="17">
        <v>0</v>
      </c>
      <c r="E114" s="17">
        <v>1</v>
      </c>
      <c r="F114" s="17">
        <v>2</v>
      </c>
      <c r="G114" s="17">
        <v>0</v>
      </c>
      <c r="H114" s="17">
        <v>33.333333333333329</v>
      </c>
      <c r="I114" s="17">
        <v>66.666666666666657</v>
      </c>
      <c r="J114" s="17">
        <v>3</v>
      </c>
    </row>
    <row r="115" spans="1:10">
      <c r="A115" s="41">
        <v>49</v>
      </c>
      <c r="B115" s="17" t="s">
        <v>49</v>
      </c>
      <c r="C115" s="17" t="s">
        <v>642</v>
      </c>
      <c r="D115" s="17">
        <v>0</v>
      </c>
      <c r="E115" s="17">
        <v>0</v>
      </c>
      <c r="F115" s="17">
        <v>3</v>
      </c>
      <c r="G115" s="17">
        <v>0</v>
      </c>
      <c r="H115" s="17">
        <v>0</v>
      </c>
      <c r="I115" s="17">
        <v>100</v>
      </c>
      <c r="J115" s="17">
        <v>3</v>
      </c>
    </row>
    <row r="116" spans="1:10">
      <c r="A116" s="41">
        <v>50</v>
      </c>
      <c r="B116" s="17" t="s">
        <v>49</v>
      </c>
      <c r="C116" s="17" t="s">
        <v>642</v>
      </c>
      <c r="D116" s="17">
        <v>0</v>
      </c>
      <c r="E116" s="17">
        <v>0</v>
      </c>
      <c r="F116" s="17">
        <v>2</v>
      </c>
      <c r="G116" s="17">
        <v>0</v>
      </c>
      <c r="H116" s="17">
        <v>0</v>
      </c>
      <c r="I116" s="17">
        <v>100</v>
      </c>
      <c r="J116" s="17">
        <v>2</v>
      </c>
    </row>
    <row r="117" spans="1:10">
      <c r="A117" s="55">
        <v>51</v>
      </c>
      <c r="B117" s="17" t="s">
        <v>49</v>
      </c>
      <c r="C117" s="17" t="s">
        <v>642</v>
      </c>
      <c r="D117" s="17">
        <v>0</v>
      </c>
      <c r="E117" s="17">
        <v>0</v>
      </c>
      <c r="F117" s="17">
        <v>3</v>
      </c>
      <c r="G117" s="17">
        <v>0</v>
      </c>
      <c r="H117" s="17">
        <v>0</v>
      </c>
      <c r="I117" s="17">
        <v>100</v>
      </c>
      <c r="J117" s="17">
        <v>3</v>
      </c>
    </row>
    <row r="118" spans="1:10">
      <c r="A118" s="41">
        <v>52</v>
      </c>
      <c r="B118" s="17" t="s">
        <v>49</v>
      </c>
      <c r="C118" s="17" t="s">
        <v>642</v>
      </c>
      <c r="D118" s="17">
        <v>0</v>
      </c>
      <c r="E118" s="17">
        <v>0</v>
      </c>
      <c r="F118" s="17">
        <v>3</v>
      </c>
      <c r="G118" s="17">
        <v>0</v>
      </c>
      <c r="H118" s="17">
        <v>0</v>
      </c>
      <c r="I118" s="17">
        <v>100</v>
      </c>
      <c r="J118" s="17">
        <v>3</v>
      </c>
    </row>
    <row r="119" spans="1:10">
      <c r="A119" s="41">
        <v>53</v>
      </c>
      <c r="B119" s="17" t="s">
        <v>49</v>
      </c>
      <c r="C119" s="17" t="s">
        <v>642</v>
      </c>
      <c r="D119" s="17">
        <v>0</v>
      </c>
      <c r="E119" s="17">
        <v>0</v>
      </c>
      <c r="F119" s="17">
        <v>4</v>
      </c>
      <c r="G119" s="17">
        <v>0</v>
      </c>
      <c r="H119" s="17">
        <v>0</v>
      </c>
      <c r="I119" s="17">
        <v>100</v>
      </c>
      <c r="J119" s="17">
        <v>4</v>
      </c>
    </row>
    <row r="120" spans="1:10">
      <c r="A120" s="55">
        <v>54</v>
      </c>
      <c r="B120" s="17" t="s">
        <v>49</v>
      </c>
      <c r="C120" s="17" t="s">
        <v>642</v>
      </c>
      <c r="D120" s="17">
        <v>0</v>
      </c>
      <c r="E120" s="17">
        <v>0</v>
      </c>
      <c r="F120" s="17">
        <v>3</v>
      </c>
      <c r="G120" s="17">
        <v>0</v>
      </c>
      <c r="H120" s="17">
        <v>0</v>
      </c>
      <c r="I120" s="17">
        <v>100</v>
      </c>
      <c r="J120" s="17">
        <v>3</v>
      </c>
    </row>
    <row r="121" spans="1:10">
      <c r="A121" s="41">
        <v>55</v>
      </c>
      <c r="B121" s="17" t="s">
        <v>49</v>
      </c>
      <c r="C121" s="17" t="s">
        <v>642</v>
      </c>
      <c r="D121" s="17">
        <v>0</v>
      </c>
      <c r="E121" s="17">
        <v>0</v>
      </c>
      <c r="F121" s="17">
        <v>4</v>
      </c>
      <c r="G121" s="17">
        <v>0</v>
      </c>
      <c r="H121" s="17">
        <v>0</v>
      </c>
      <c r="I121" s="17">
        <v>100</v>
      </c>
      <c r="J121" s="17">
        <v>4</v>
      </c>
    </row>
    <row r="122" spans="1:10">
      <c r="A122" s="41">
        <v>56</v>
      </c>
      <c r="B122" s="17" t="s">
        <v>49</v>
      </c>
      <c r="C122" s="17" t="s">
        <v>642</v>
      </c>
      <c r="D122" s="17">
        <v>0</v>
      </c>
      <c r="E122" s="17">
        <v>0</v>
      </c>
      <c r="F122" s="17">
        <v>3</v>
      </c>
      <c r="G122" s="17">
        <v>0</v>
      </c>
      <c r="H122" s="17">
        <v>0</v>
      </c>
      <c r="I122" s="17">
        <v>100</v>
      </c>
      <c r="J122" s="17">
        <v>3</v>
      </c>
    </row>
    <row r="123" spans="1:10">
      <c r="A123" s="55">
        <v>57</v>
      </c>
      <c r="B123" s="17" t="s">
        <v>49</v>
      </c>
      <c r="C123" s="17" t="s">
        <v>642</v>
      </c>
      <c r="D123" s="17">
        <v>0</v>
      </c>
      <c r="E123" s="17">
        <v>0</v>
      </c>
      <c r="F123" s="17">
        <v>2</v>
      </c>
      <c r="G123" s="17">
        <v>0</v>
      </c>
      <c r="H123" s="17">
        <v>0</v>
      </c>
      <c r="I123" s="17">
        <v>100</v>
      </c>
      <c r="J123" s="17">
        <v>2</v>
      </c>
    </row>
    <row r="124" spans="1:10">
      <c r="A124" s="16" t="s">
        <v>711</v>
      </c>
      <c r="B124" s="35"/>
      <c r="C124" s="45"/>
      <c r="D124" s="45"/>
      <c r="E124" s="45"/>
      <c r="F124" s="51" t="s">
        <v>22</v>
      </c>
      <c r="G124" s="52">
        <v>0</v>
      </c>
      <c r="H124" s="52">
        <v>3.2163742690058474</v>
      </c>
      <c r="I124" s="52">
        <v>96.78362573099416</v>
      </c>
      <c r="J124" s="21" t="s">
        <v>492</v>
      </c>
    </row>
    <row r="125" spans="1:10">
      <c r="A125" s="35"/>
      <c r="B125" s="35"/>
      <c r="C125" s="45"/>
      <c r="D125" s="45"/>
      <c r="E125" s="45"/>
      <c r="F125" s="51" t="s">
        <v>570</v>
      </c>
      <c r="G125" s="52">
        <v>0</v>
      </c>
      <c r="H125" s="52">
        <v>10.652611876621116</v>
      </c>
      <c r="I125" s="52">
        <v>10.652611876620986</v>
      </c>
      <c r="J125" s="54">
        <v>150</v>
      </c>
    </row>
    <row r="128" spans="1:10">
      <c r="A128" s="25" t="s">
        <v>648</v>
      </c>
      <c r="B128" s="25" t="s">
        <v>735</v>
      </c>
      <c r="C128" s="25" t="s">
        <v>642</v>
      </c>
      <c r="D128" s="25">
        <v>2</v>
      </c>
      <c r="E128" s="25">
        <v>0</v>
      </c>
      <c r="F128" s="25">
        <v>59</v>
      </c>
      <c r="G128" s="25"/>
      <c r="H128" s="25"/>
      <c r="I128" s="25"/>
      <c r="J128" s="25"/>
    </row>
    <row r="129" spans="1:10">
      <c r="A129" s="25" t="s">
        <v>649</v>
      </c>
      <c r="B129" s="25" t="s">
        <v>735</v>
      </c>
      <c r="C129" s="25" t="s">
        <v>642</v>
      </c>
      <c r="D129" s="25">
        <v>2</v>
      </c>
      <c r="E129" s="25">
        <v>1</v>
      </c>
      <c r="F129" s="25">
        <v>45</v>
      </c>
      <c r="G129" s="25"/>
      <c r="H129" s="25"/>
      <c r="I129" s="25"/>
      <c r="J129" s="25"/>
    </row>
    <row r="130" spans="1:10">
      <c r="A130" s="50" t="s">
        <v>650</v>
      </c>
      <c r="B130" s="50" t="s">
        <v>735</v>
      </c>
      <c r="C130" s="50" t="s">
        <v>642</v>
      </c>
      <c r="D130" s="50">
        <v>4</v>
      </c>
      <c r="E130" s="50">
        <v>1</v>
      </c>
      <c r="F130" s="50">
        <v>104</v>
      </c>
      <c r="G130" s="50">
        <v>3.669724770642202</v>
      </c>
      <c r="H130" s="50">
        <v>0.91743119266055051</v>
      </c>
      <c r="I130" s="50">
        <v>95.412844036697251</v>
      </c>
      <c r="J130" s="50">
        <v>109</v>
      </c>
    </row>
    <row r="131" spans="1:10">
      <c r="A131" s="25" t="s">
        <v>651</v>
      </c>
      <c r="B131" s="25" t="s">
        <v>735</v>
      </c>
      <c r="C131" s="25" t="s">
        <v>642</v>
      </c>
      <c r="D131" s="25">
        <v>0</v>
      </c>
      <c r="E131" s="25">
        <v>0</v>
      </c>
      <c r="F131" s="25">
        <v>55</v>
      </c>
      <c r="G131" s="25"/>
      <c r="H131" s="25"/>
      <c r="I131" s="25"/>
      <c r="J131" s="25"/>
    </row>
    <row r="132" spans="1:10">
      <c r="A132" s="25" t="s">
        <v>652</v>
      </c>
      <c r="B132" s="25" t="s">
        <v>735</v>
      </c>
      <c r="C132" s="25" t="s">
        <v>642</v>
      </c>
      <c r="D132" s="25">
        <v>0</v>
      </c>
      <c r="E132" s="25">
        <v>0</v>
      </c>
      <c r="F132" s="25">
        <v>57</v>
      </c>
      <c r="G132" s="25"/>
      <c r="H132" s="25"/>
      <c r="I132" s="25"/>
      <c r="J132" s="25"/>
    </row>
    <row r="133" spans="1:10">
      <c r="A133" s="50" t="s">
        <v>653</v>
      </c>
      <c r="B133" s="50" t="s">
        <v>735</v>
      </c>
      <c r="C133" s="50" t="s">
        <v>642</v>
      </c>
      <c r="D133" s="50">
        <v>0</v>
      </c>
      <c r="E133" s="50">
        <v>0</v>
      </c>
      <c r="F133" s="50">
        <v>112</v>
      </c>
      <c r="G133" s="50">
        <v>0</v>
      </c>
      <c r="H133" s="50">
        <v>0</v>
      </c>
      <c r="I133" s="50">
        <v>100</v>
      </c>
      <c r="J133" s="50">
        <v>112</v>
      </c>
    </row>
    <row r="134" spans="1:10">
      <c r="A134" s="25" t="s">
        <v>654</v>
      </c>
      <c r="B134" s="25" t="s">
        <v>735</v>
      </c>
      <c r="C134" s="25" t="s">
        <v>642</v>
      </c>
      <c r="D134" s="25">
        <v>0</v>
      </c>
      <c r="E134" s="25">
        <v>1</v>
      </c>
      <c r="F134" s="25">
        <v>38</v>
      </c>
      <c r="G134" s="25"/>
      <c r="H134" s="25"/>
      <c r="I134" s="25"/>
      <c r="J134" s="25"/>
    </row>
    <row r="135" spans="1:10">
      <c r="A135" s="25" t="s">
        <v>655</v>
      </c>
      <c r="B135" s="25" t="s">
        <v>735</v>
      </c>
      <c r="C135" s="25" t="s">
        <v>642</v>
      </c>
      <c r="D135" s="25">
        <v>0</v>
      </c>
      <c r="E135" s="25">
        <v>1</v>
      </c>
      <c r="F135" s="25">
        <v>53</v>
      </c>
      <c r="G135" s="25"/>
      <c r="H135" s="25"/>
      <c r="I135" s="25"/>
      <c r="J135" s="25"/>
    </row>
    <row r="136" spans="1:10">
      <c r="A136" s="50" t="s">
        <v>656</v>
      </c>
      <c r="B136" s="50" t="s">
        <v>735</v>
      </c>
      <c r="C136" s="50" t="s">
        <v>642</v>
      </c>
      <c r="D136" s="50">
        <v>0</v>
      </c>
      <c r="E136" s="50">
        <v>2</v>
      </c>
      <c r="F136" s="50">
        <v>91</v>
      </c>
      <c r="G136" s="50">
        <v>0</v>
      </c>
      <c r="H136" s="50">
        <v>2.1505376344086025</v>
      </c>
      <c r="I136" s="50">
        <v>97.849462365591393</v>
      </c>
      <c r="J136" s="50">
        <v>93</v>
      </c>
    </row>
    <row r="137" spans="1:10">
      <c r="A137" s="25" t="s">
        <v>657</v>
      </c>
      <c r="B137" s="25" t="s">
        <v>735</v>
      </c>
      <c r="C137" s="25" t="s">
        <v>642</v>
      </c>
      <c r="D137" s="25">
        <v>0</v>
      </c>
      <c r="E137" s="25">
        <v>0</v>
      </c>
      <c r="F137" s="25">
        <v>52</v>
      </c>
      <c r="G137" s="25"/>
      <c r="H137" s="25"/>
      <c r="I137" s="25"/>
      <c r="J137" s="25"/>
    </row>
    <row r="138" spans="1:10">
      <c r="A138" s="25" t="s">
        <v>658</v>
      </c>
      <c r="B138" s="25" t="s">
        <v>735</v>
      </c>
      <c r="C138" s="25" t="s">
        <v>642</v>
      </c>
      <c r="D138" s="25">
        <v>0</v>
      </c>
      <c r="E138" s="25">
        <v>0</v>
      </c>
      <c r="F138" s="25">
        <v>48</v>
      </c>
      <c r="G138" s="25"/>
      <c r="H138" s="25"/>
      <c r="I138" s="25"/>
      <c r="J138" s="25"/>
    </row>
    <row r="139" spans="1:10">
      <c r="A139" s="50" t="s">
        <v>659</v>
      </c>
      <c r="B139" s="50" t="s">
        <v>735</v>
      </c>
      <c r="C139" s="50" t="s">
        <v>642</v>
      </c>
      <c r="D139" s="50">
        <v>0</v>
      </c>
      <c r="E139" s="50">
        <v>0</v>
      </c>
      <c r="F139" s="50">
        <v>100</v>
      </c>
      <c r="G139" s="50">
        <v>0</v>
      </c>
      <c r="H139" s="50">
        <v>0</v>
      </c>
      <c r="I139" s="50">
        <v>100</v>
      </c>
      <c r="J139" s="50">
        <v>100</v>
      </c>
    </row>
    <row r="140" spans="1:10">
      <c r="A140" s="25" t="s">
        <v>660</v>
      </c>
      <c r="B140" s="25" t="s">
        <v>735</v>
      </c>
      <c r="C140" s="25" t="s">
        <v>642</v>
      </c>
      <c r="D140" s="25">
        <v>0</v>
      </c>
      <c r="E140" s="25">
        <v>2</v>
      </c>
      <c r="F140" s="25">
        <v>55</v>
      </c>
      <c r="G140" s="25"/>
      <c r="H140" s="25"/>
      <c r="I140" s="25"/>
      <c r="J140" s="25"/>
    </row>
    <row r="141" spans="1:10">
      <c r="A141" s="25" t="s">
        <v>661</v>
      </c>
      <c r="B141" s="25" t="s">
        <v>735</v>
      </c>
      <c r="C141" s="25" t="s">
        <v>642</v>
      </c>
      <c r="D141" s="25">
        <v>0</v>
      </c>
      <c r="E141" s="25">
        <v>0</v>
      </c>
      <c r="F141" s="25">
        <v>41</v>
      </c>
      <c r="G141" s="25"/>
      <c r="H141" s="25"/>
      <c r="I141" s="25"/>
      <c r="J141" s="25"/>
    </row>
    <row r="142" spans="1:10">
      <c r="A142" s="50" t="s">
        <v>662</v>
      </c>
      <c r="B142" s="50" t="s">
        <v>735</v>
      </c>
      <c r="C142" s="50" t="s">
        <v>642</v>
      </c>
      <c r="D142" s="50">
        <v>0</v>
      </c>
      <c r="E142" s="50">
        <v>2</v>
      </c>
      <c r="F142" s="50">
        <v>96</v>
      </c>
      <c r="G142" s="50">
        <v>0</v>
      </c>
      <c r="H142" s="50">
        <v>2.0408163265306123</v>
      </c>
      <c r="I142" s="50">
        <v>97.959183673469383</v>
      </c>
      <c r="J142" s="50">
        <v>98</v>
      </c>
    </row>
    <row r="143" spans="1:10">
      <c r="A143" s="25" t="s">
        <v>663</v>
      </c>
      <c r="B143" s="25" t="s">
        <v>735</v>
      </c>
      <c r="C143" s="25" t="s">
        <v>642</v>
      </c>
      <c r="D143" s="25">
        <v>0</v>
      </c>
      <c r="E143" s="25">
        <v>2</v>
      </c>
      <c r="F143" s="25">
        <v>58</v>
      </c>
      <c r="G143" s="25"/>
      <c r="H143" s="25"/>
      <c r="I143" s="25"/>
      <c r="J143" s="25"/>
    </row>
    <row r="144" spans="1:10">
      <c r="A144" s="25" t="s">
        <v>664</v>
      </c>
      <c r="B144" s="25" t="s">
        <v>735</v>
      </c>
      <c r="C144" s="25" t="s">
        <v>642</v>
      </c>
      <c r="D144" s="25">
        <v>0</v>
      </c>
      <c r="E144" s="25">
        <v>1</v>
      </c>
      <c r="F144" s="25">
        <v>44</v>
      </c>
      <c r="G144" s="25"/>
      <c r="H144" s="25"/>
      <c r="I144" s="25"/>
      <c r="J144" s="25"/>
    </row>
    <row r="145" spans="1:10">
      <c r="A145" s="50" t="s">
        <v>665</v>
      </c>
      <c r="B145" s="50" t="s">
        <v>735</v>
      </c>
      <c r="C145" s="50" t="s">
        <v>642</v>
      </c>
      <c r="D145" s="50">
        <v>0</v>
      </c>
      <c r="E145" s="50">
        <v>3</v>
      </c>
      <c r="F145" s="50">
        <v>102</v>
      </c>
      <c r="G145" s="50">
        <v>0</v>
      </c>
      <c r="H145" s="50">
        <v>2.8571428571428572</v>
      </c>
      <c r="I145" s="50">
        <v>97.142857142857139</v>
      </c>
      <c r="J145" s="50">
        <v>105</v>
      </c>
    </row>
    <row r="146" spans="1:10">
      <c r="A146" s="25" t="s">
        <v>666</v>
      </c>
      <c r="B146" s="25" t="s">
        <v>735</v>
      </c>
      <c r="C146" s="25" t="s">
        <v>642</v>
      </c>
      <c r="D146" s="25">
        <v>0</v>
      </c>
      <c r="E146" s="25">
        <v>1</v>
      </c>
      <c r="F146" s="25">
        <v>37</v>
      </c>
      <c r="G146" s="25"/>
      <c r="H146" s="25"/>
      <c r="I146" s="25"/>
      <c r="J146" s="25"/>
    </row>
    <row r="147" spans="1:10">
      <c r="A147" s="25" t="s">
        <v>667</v>
      </c>
      <c r="B147" s="25" t="s">
        <v>735</v>
      </c>
      <c r="C147" s="25" t="s">
        <v>642</v>
      </c>
      <c r="D147" s="25">
        <v>0</v>
      </c>
      <c r="E147" s="25">
        <v>0</v>
      </c>
      <c r="F147" s="25">
        <v>44</v>
      </c>
      <c r="G147" s="25"/>
      <c r="H147" s="25"/>
      <c r="I147" s="25"/>
      <c r="J147" s="25"/>
    </row>
    <row r="148" spans="1:10">
      <c r="A148" s="50" t="s">
        <v>668</v>
      </c>
      <c r="B148" s="50" t="s">
        <v>735</v>
      </c>
      <c r="C148" s="50" t="s">
        <v>642</v>
      </c>
      <c r="D148" s="50">
        <v>0</v>
      </c>
      <c r="E148" s="50">
        <v>1</v>
      </c>
      <c r="F148" s="50">
        <v>81</v>
      </c>
      <c r="G148" s="50">
        <v>0</v>
      </c>
      <c r="H148" s="50">
        <v>1.2195121951219512</v>
      </c>
      <c r="I148" s="50">
        <v>98.780487804878049</v>
      </c>
      <c r="J148" s="50">
        <v>82</v>
      </c>
    </row>
    <row r="149" spans="1:10">
      <c r="A149" s="25" t="s">
        <v>669</v>
      </c>
      <c r="B149" s="25" t="s">
        <v>735</v>
      </c>
      <c r="C149" s="25" t="s">
        <v>642</v>
      </c>
      <c r="D149" s="25">
        <v>0</v>
      </c>
      <c r="E149" s="25">
        <v>0</v>
      </c>
      <c r="F149" s="25">
        <v>50</v>
      </c>
      <c r="G149" s="25"/>
      <c r="H149" s="25"/>
      <c r="I149" s="25"/>
      <c r="J149" s="25"/>
    </row>
    <row r="150" spans="1:10">
      <c r="A150" s="25" t="s">
        <v>670</v>
      </c>
      <c r="B150" s="25" t="s">
        <v>735</v>
      </c>
      <c r="C150" s="25" t="s">
        <v>642</v>
      </c>
      <c r="D150" s="25">
        <v>2</v>
      </c>
      <c r="E150" s="25">
        <v>0</v>
      </c>
      <c r="F150" s="25">
        <v>44</v>
      </c>
      <c r="G150" s="25"/>
      <c r="H150" s="25"/>
      <c r="I150" s="25"/>
      <c r="J150" s="25"/>
    </row>
    <row r="151" spans="1:10">
      <c r="A151" s="50" t="s">
        <v>671</v>
      </c>
      <c r="B151" s="50" t="s">
        <v>735</v>
      </c>
      <c r="C151" s="50" t="s">
        <v>642</v>
      </c>
      <c r="D151" s="50">
        <v>2</v>
      </c>
      <c r="E151" s="50">
        <v>0</v>
      </c>
      <c r="F151" s="50">
        <v>94</v>
      </c>
      <c r="G151" s="50">
        <v>2.083333333333333</v>
      </c>
      <c r="H151" s="50">
        <v>0</v>
      </c>
      <c r="I151" s="50">
        <v>97.916666666666657</v>
      </c>
      <c r="J151" s="50">
        <v>96</v>
      </c>
    </row>
    <row r="152" spans="1:10">
      <c r="A152" s="25" t="s">
        <v>672</v>
      </c>
      <c r="B152" s="25" t="s">
        <v>735</v>
      </c>
      <c r="C152" s="25" t="s">
        <v>642</v>
      </c>
      <c r="D152" s="25">
        <v>3</v>
      </c>
      <c r="E152" s="25">
        <v>0</v>
      </c>
      <c r="F152" s="25">
        <v>53</v>
      </c>
      <c r="G152" s="25"/>
      <c r="H152" s="25"/>
      <c r="I152" s="25"/>
      <c r="J152" s="25"/>
    </row>
    <row r="153" spans="1:10">
      <c r="A153" s="25" t="s">
        <v>673</v>
      </c>
      <c r="B153" s="25" t="s">
        <v>735</v>
      </c>
      <c r="C153" s="25" t="s">
        <v>642</v>
      </c>
      <c r="D153" s="25">
        <v>4</v>
      </c>
      <c r="E153" s="25">
        <v>0</v>
      </c>
      <c r="F153" s="25">
        <v>49</v>
      </c>
      <c r="G153" s="25"/>
      <c r="H153" s="25"/>
      <c r="I153" s="25"/>
      <c r="J153" s="25"/>
    </row>
    <row r="154" spans="1:10">
      <c r="A154" s="50" t="s">
        <v>674</v>
      </c>
      <c r="B154" s="50" t="s">
        <v>735</v>
      </c>
      <c r="C154" s="50" t="s">
        <v>642</v>
      </c>
      <c r="D154" s="50">
        <v>7</v>
      </c>
      <c r="E154" s="50">
        <v>0</v>
      </c>
      <c r="F154" s="50">
        <v>102</v>
      </c>
      <c r="G154" s="50">
        <v>6.4220183486238538</v>
      </c>
      <c r="H154" s="50">
        <v>0</v>
      </c>
      <c r="I154" s="50">
        <v>93.577981651376149</v>
      </c>
      <c r="J154" s="50">
        <v>109</v>
      </c>
    </row>
    <row r="155" spans="1:10">
      <c r="A155" s="28" t="s">
        <v>299</v>
      </c>
      <c r="B155" s="35"/>
      <c r="C155" s="45"/>
      <c r="D155" s="45"/>
      <c r="E155" s="45"/>
      <c r="F155" s="51" t="s">
        <v>22</v>
      </c>
      <c r="G155" s="52">
        <v>1.3527862725110431</v>
      </c>
      <c r="H155" s="52">
        <v>1.0206044673182859</v>
      </c>
      <c r="I155" s="52">
        <v>97.626609260170667</v>
      </c>
      <c r="J155" s="53" t="s">
        <v>492</v>
      </c>
    </row>
    <row r="156" spans="1:10">
      <c r="A156" s="35"/>
      <c r="B156" s="35"/>
      <c r="C156" s="45"/>
      <c r="D156" s="45"/>
      <c r="E156" s="45"/>
      <c r="F156" s="51" t="s">
        <v>570</v>
      </c>
      <c r="G156" s="52">
        <v>2.3070327546508547</v>
      </c>
      <c r="H156" s="52">
        <v>1.1128340723515029</v>
      </c>
      <c r="I156" s="52">
        <v>2.0726783258669794</v>
      </c>
      <c r="J156" s="54">
        <v>904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49E24-FCFF-D741-89A6-FF373B244E6B}">
  <dimension ref="A1:J165"/>
  <sheetViews>
    <sheetView zoomScale="60" workbookViewId="0">
      <pane ySplit="1" topLeftCell="A2" activePane="bottomLeft" state="frozen"/>
      <selection pane="bottomLeft" activeCell="E20" sqref="A1:XFD1048576"/>
    </sheetView>
  </sheetViews>
  <sheetFormatPr baseColWidth="10" defaultRowHeight="16"/>
  <cols>
    <col min="1" max="1" width="44.83203125" style="18" bestFit="1" customWidth="1"/>
    <col min="2" max="2" width="18.5" style="18" bestFit="1" customWidth="1"/>
    <col min="3" max="3" width="17.83203125" style="18" bestFit="1" customWidth="1"/>
    <col min="4" max="5" width="25.5" style="18" bestFit="1" customWidth="1"/>
    <col min="6" max="6" width="20.5" style="18" bestFit="1" customWidth="1"/>
    <col min="7" max="8" width="20.33203125" style="18" bestFit="1" customWidth="1"/>
    <col min="9" max="9" width="15.33203125" style="18" bestFit="1" customWidth="1"/>
    <col min="10" max="10" width="19" style="18" bestFit="1" customWidth="1"/>
    <col min="11" max="16384" width="10.83203125" style="18"/>
  </cols>
  <sheetData>
    <row r="1" spans="1:10">
      <c r="A1" s="12" t="s">
        <v>0</v>
      </c>
      <c r="B1" s="12" t="s">
        <v>25</v>
      </c>
      <c r="C1" s="12" t="s">
        <v>26</v>
      </c>
      <c r="D1" s="12" t="s">
        <v>573</v>
      </c>
      <c r="E1" s="12" t="s">
        <v>574</v>
      </c>
      <c r="F1" s="12" t="s">
        <v>575</v>
      </c>
      <c r="G1" s="13" t="s">
        <v>576</v>
      </c>
      <c r="H1" s="13" t="s">
        <v>577</v>
      </c>
      <c r="I1" s="13" t="s">
        <v>578</v>
      </c>
      <c r="J1" s="39" t="s">
        <v>491</v>
      </c>
    </row>
    <row r="2" spans="1:10">
      <c r="A2" s="15" t="s">
        <v>27</v>
      </c>
      <c r="B2" s="15" t="s">
        <v>737</v>
      </c>
      <c r="C2" s="15" t="s">
        <v>504</v>
      </c>
      <c r="D2" s="15">
        <v>0</v>
      </c>
      <c r="E2" s="15">
        <f>80-13</f>
        <v>67</v>
      </c>
      <c r="F2" s="15">
        <v>13</v>
      </c>
      <c r="G2" s="15"/>
      <c r="H2" s="15"/>
      <c r="I2" s="15"/>
      <c r="J2" s="15"/>
    </row>
    <row r="3" spans="1:10">
      <c r="A3" s="15" t="s">
        <v>28</v>
      </c>
      <c r="B3" s="15" t="s">
        <v>737</v>
      </c>
      <c r="C3" s="15" t="s">
        <v>504</v>
      </c>
      <c r="D3" s="15">
        <v>1</v>
      </c>
      <c r="E3" s="15">
        <v>81</v>
      </c>
      <c r="F3" s="15">
        <v>3</v>
      </c>
      <c r="G3" s="15"/>
      <c r="H3" s="15"/>
      <c r="I3" s="15"/>
      <c r="J3" s="15"/>
    </row>
    <row r="4" spans="1:10">
      <c r="A4" s="17" t="s">
        <v>29</v>
      </c>
      <c r="B4" s="17" t="s">
        <v>737</v>
      </c>
      <c r="C4" s="17" t="s">
        <v>504</v>
      </c>
      <c r="D4" s="17">
        <f>SUM(D2:D3)</f>
        <v>1</v>
      </c>
      <c r="E4" s="17">
        <f t="shared" ref="E4:F4" si="0">SUM(E2:E3)</f>
        <v>148</v>
      </c>
      <c r="F4" s="17">
        <f t="shared" si="0"/>
        <v>16</v>
      </c>
      <c r="G4" s="17">
        <f>D4/SUM(D4:F4)*100</f>
        <v>0.60606060606060608</v>
      </c>
      <c r="H4" s="17">
        <f>E4/SUM(D4:F4)*100</f>
        <v>89.696969696969703</v>
      </c>
      <c r="I4" s="17">
        <f>F4/SUM(D4:F4)*100</f>
        <v>9.6969696969696972</v>
      </c>
      <c r="J4" s="15">
        <f>SUM(D4:F4)</f>
        <v>165</v>
      </c>
    </row>
    <row r="5" spans="1:10">
      <c r="A5" s="15" t="s">
        <v>30</v>
      </c>
      <c r="B5" s="15" t="s">
        <v>737</v>
      </c>
      <c r="C5" s="15" t="s">
        <v>504</v>
      </c>
      <c r="D5" s="15">
        <v>0</v>
      </c>
      <c r="E5" s="15">
        <v>40</v>
      </c>
      <c r="F5" s="15">
        <v>1</v>
      </c>
      <c r="G5" s="15"/>
      <c r="H5" s="15"/>
      <c r="I5" s="15"/>
      <c r="J5" s="15"/>
    </row>
    <row r="6" spans="1:10">
      <c r="A6" s="15" t="s">
        <v>31</v>
      </c>
      <c r="B6" s="15" t="s">
        <v>737</v>
      </c>
      <c r="C6" s="15" t="s">
        <v>504</v>
      </c>
      <c r="D6" s="15">
        <v>0</v>
      </c>
      <c r="E6" s="15">
        <v>85</v>
      </c>
      <c r="F6" s="15">
        <v>4</v>
      </c>
      <c r="G6" s="15"/>
      <c r="H6" s="15"/>
      <c r="I6" s="15"/>
      <c r="J6" s="15"/>
    </row>
    <row r="7" spans="1:10">
      <c r="A7" s="17" t="s">
        <v>32</v>
      </c>
      <c r="B7" s="17" t="s">
        <v>737</v>
      </c>
      <c r="C7" s="17" t="s">
        <v>504</v>
      </c>
      <c r="D7" s="17">
        <f>SUM(D5:D6)</f>
        <v>0</v>
      </c>
      <c r="E7" s="17">
        <f t="shared" ref="E7:F7" si="1">SUM(E5:E6)</f>
        <v>125</v>
      </c>
      <c r="F7" s="17">
        <f t="shared" si="1"/>
        <v>5</v>
      </c>
      <c r="G7" s="17">
        <f>D7/SUM(D7:F7)*100</f>
        <v>0</v>
      </c>
      <c r="H7" s="17">
        <f>E7/SUM(D7:F7)*100</f>
        <v>96.15384615384616</v>
      </c>
      <c r="I7" s="17">
        <f>F7/SUM(D7:F7)*100</f>
        <v>3.8461538461538463</v>
      </c>
      <c r="J7" s="15">
        <f>SUM(D7:F7)</f>
        <v>130</v>
      </c>
    </row>
    <row r="8" spans="1:10">
      <c r="A8" s="15" t="s">
        <v>33</v>
      </c>
      <c r="B8" s="15" t="s">
        <v>737</v>
      </c>
      <c r="C8" s="15" t="s">
        <v>504</v>
      </c>
      <c r="D8" s="15">
        <v>0</v>
      </c>
      <c r="E8" s="15">
        <v>44</v>
      </c>
      <c r="F8" s="15">
        <v>2</v>
      </c>
      <c r="G8" s="15"/>
      <c r="H8" s="15"/>
      <c r="I8" s="15"/>
      <c r="J8" s="15"/>
    </row>
    <row r="9" spans="1:10">
      <c r="A9" s="15" t="s">
        <v>34</v>
      </c>
      <c r="B9" s="15" t="s">
        <v>737</v>
      </c>
      <c r="C9" s="15" t="s">
        <v>504</v>
      </c>
      <c r="D9" s="15">
        <v>0</v>
      </c>
      <c r="E9" s="15">
        <v>53</v>
      </c>
      <c r="F9" s="15">
        <v>1</v>
      </c>
      <c r="G9" s="15"/>
      <c r="H9" s="15"/>
      <c r="I9" s="15"/>
      <c r="J9" s="15"/>
    </row>
    <row r="10" spans="1:10">
      <c r="A10" s="17" t="s">
        <v>35</v>
      </c>
      <c r="B10" s="17" t="s">
        <v>737</v>
      </c>
      <c r="C10" s="17" t="s">
        <v>504</v>
      </c>
      <c r="D10" s="17">
        <f>SUM(D8:D9)</f>
        <v>0</v>
      </c>
      <c r="E10" s="17">
        <f t="shared" ref="E10:F10" si="2">SUM(E8:E9)</f>
        <v>97</v>
      </c>
      <c r="F10" s="17">
        <f t="shared" si="2"/>
        <v>3</v>
      </c>
      <c r="G10" s="17">
        <f>D10/SUM(D10:F10)*100</f>
        <v>0</v>
      </c>
      <c r="H10" s="17">
        <f>E10/SUM(D10:F10)*100</f>
        <v>97</v>
      </c>
      <c r="I10" s="17">
        <f>F10/SUM(D10:F10)*100</f>
        <v>3</v>
      </c>
      <c r="J10" s="15">
        <f>SUM(D10:F10)</f>
        <v>100</v>
      </c>
    </row>
    <row r="11" spans="1:10">
      <c r="A11" s="15" t="s">
        <v>36</v>
      </c>
      <c r="B11" s="15" t="s">
        <v>737</v>
      </c>
      <c r="C11" s="15" t="s">
        <v>504</v>
      </c>
      <c r="D11" s="15">
        <v>0</v>
      </c>
      <c r="E11" s="15">
        <f>52-3</f>
        <v>49</v>
      </c>
      <c r="F11" s="15">
        <v>3</v>
      </c>
      <c r="G11" s="15"/>
      <c r="H11" s="15"/>
      <c r="I11" s="15"/>
      <c r="J11" s="15"/>
    </row>
    <row r="12" spans="1:10">
      <c r="A12" s="15" t="s">
        <v>37</v>
      </c>
      <c r="B12" s="15" t="s">
        <v>737</v>
      </c>
      <c r="C12" s="15" t="s">
        <v>504</v>
      </c>
      <c r="D12" s="15">
        <v>0</v>
      </c>
      <c r="E12" s="15">
        <v>74</v>
      </c>
      <c r="F12" s="15">
        <v>2</v>
      </c>
      <c r="G12" s="15"/>
      <c r="H12" s="15"/>
      <c r="I12" s="15"/>
      <c r="J12" s="15"/>
    </row>
    <row r="13" spans="1:10">
      <c r="A13" s="17" t="s">
        <v>38</v>
      </c>
      <c r="B13" s="17" t="s">
        <v>737</v>
      </c>
      <c r="C13" s="17" t="s">
        <v>504</v>
      </c>
      <c r="D13" s="17">
        <f>SUM(D11:D12)</f>
        <v>0</v>
      </c>
      <c r="E13" s="17">
        <f t="shared" ref="E13:F13" si="3">SUM(E11:E12)</f>
        <v>123</v>
      </c>
      <c r="F13" s="17">
        <f t="shared" si="3"/>
        <v>5</v>
      </c>
      <c r="G13" s="17">
        <f>D13/SUM(D13:F13)*100</f>
        <v>0</v>
      </c>
      <c r="H13" s="17">
        <f>E13/SUM(D13:F13)*100</f>
        <v>96.09375</v>
      </c>
      <c r="I13" s="17">
        <f>F13/SUM(D13:F13)*100</f>
        <v>3.90625</v>
      </c>
      <c r="J13" s="15">
        <f>SUM(D13:F13)</f>
        <v>128</v>
      </c>
    </row>
    <row r="14" spans="1:10">
      <c r="A14" s="15" t="s">
        <v>39</v>
      </c>
      <c r="B14" s="15" t="s">
        <v>737</v>
      </c>
      <c r="C14" s="15" t="s">
        <v>504</v>
      </c>
      <c r="D14" s="15">
        <v>0</v>
      </c>
      <c r="E14" s="15">
        <f>51-6</f>
        <v>45</v>
      </c>
      <c r="F14" s="15">
        <v>6</v>
      </c>
      <c r="G14" s="15"/>
      <c r="H14" s="15"/>
      <c r="I14" s="15"/>
      <c r="J14" s="15"/>
    </row>
    <row r="15" spans="1:10">
      <c r="A15" s="15" t="s">
        <v>40</v>
      </c>
      <c r="B15" s="15" t="s">
        <v>737</v>
      </c>
      <c r="C15" s="15" t="s">
        <v>504</v>
      </c>
      <c r="D15" s="15">
        <v>0</v>
      </c>
      <c r="E15" s="15">
        <f>51-3</f>
        <v>48</v>
      </c>
      <c r="F15" s="15">
        <v>3</v>
      </c>
      <c r="G15" s="15"/>
      <c r="H15" s="15"/>
      <c r="I15" s="15"/>
      <c r="J15" s="15"/>
    </row>
    <row r="16" spans="1:10">
      <c r="A16" s="17" t="s">
        <v>41</v>
      </c>
      <c r="B16" s="17" t="s">
        <v>737</v>
      </c>
      <c r="C16" s="17" t="s">
        <v>504</v>
      </c>
      <c r="D16" s="17">
        <f>SUM(D14:D15)</f>
        <v>0</v>
      </c>
      <c r="E16" s="17">
        <f t="shared" ref="E16:F16" si="4">SUM(E14:E15)</f>
        <v>93</v>
      </c>
      <c r="F16" s="17">
        <f t="shared" si="4"/>
        <v>9</v>
      </c>
      <c r="G16" s="17">
        <f>D16/SUM(D16:F16)*100</f>
        <v>0</v>
      </c>
      <c r="H16" s="17">
        <f>E16/SUM(D16:F16)*100</f>
        <v>91.17647058823529</v>
      </c>
      <c r="I16" s="17">
        <f>F16/SUM(D16:F16)*100</f>
        <v>8.8235294117647065</v>
      </c>
      <c r="J16" s="15">
        <f>SUM(D16:F16)</f>
        <v>102</v>
      </c>
    </row>
    <row r="17" spans="1:10">
      <c r="A17" s="15" t="s">
        <v>42</v>
      </c>
      <c r="B17" s="15" t="s">
        <v>737</v>
      </c>
      <c r="C17" s="15" t="s">
        <v>504</v>
      </c>
      <c r="D17" s="15">
        <v>1</v>
      </c>
      <c r="E17" s="15">
        <f>67-6</f>
        <v>61</v>
      </c>
      <c r="F17" s="15">
        <v>6</v>
      </c>
      <c r="G17" s="15"/>
      <c r="H17" s="15"/>
      <c r="I17" s="15"/>
      <c r="J17" s="15"/>
    </row>
    <row r="18" spans="1:10">
      <c r="A18" s="15" t="s">
        <v>43</v>
      </c>
      <c r="B18" s="15" t="s">
        <v>737</v>
      </c>
      <c r="C18" s="15" t="s">
        <v>504</v>
      </c>
      <c r="D18" s="15">
        <v>0</v>
      </c>
      <c r="E18" s="15">
        <f>59-11</f>
        <v>48</v>
      </c>
      <c r="F18" s="15">
        <v>11</v>
      </c>
      <c r="G18" s="15"/>
      <c r="H18" s="15"/>
      <c r="I18" s="15"/>
      <c r="J18" s="15"/>
    </row>
    <row r="19" spans="1:10">
      <c r="A19" s="17" t="s">
        <v>44</v>
      </c>
      <c r="B19" s="17" t="s">
        <v>737</v>
      </c>
      <c r="C19" s="17" t="s">
        <v>504</v>
      </c>
      <c r="D19" s="17">
        <f>SUM(D17:D18)</f>
        <v>1</v>
      </c>
      <c r="E19" s="17">
        <f t="shared" ref="E19:F19" si="5">SUM(E17:E18)</f>
        <v>109</v>
      </c>
      <c r="F19" s="17">
        <f t="shared" si="5"/>
        <v>17</v>
      </c>
      <c r="G19" s="17">
        <f>D19/SUM(D19:F19)*100</f>
        <v>0.78740157480314954</v>
      </c>
      <c r="H19" s="17">
        <f>E19/SUM(D19:F19)*100</f>
        <v>85.826771653543304</v>
      </c>
      <c r="I19" s="17">
        <f>F19/SUM(D19:F19)*100</f>
        <v>13.385826771653544</v>
      </c>
      <c r="J19" s="15">
        <f>SUM(D19:F19)</f>
        <v>127</v>
      </c>
    </row>
    <row r="20" spans="1:10">
      <c r="A20" s="15" t="s">
        <v>45</v>
      </c>
      <c r="B20" s="15" t="s">
        <v>737</v>
      </c>
      <c r="C20" s="15" t="s">
        <v>504</v>
      </c>
      <c r="D20" s="15">
        <v>0</v>
      </c>
      <c r="E20" s="15">
        <f>77-18</f>
        <v>59</v>
      </c>
      <c r="F20" s="15">
        <v>18</v>
      </c>
      <c r="G20" s="15"/>
      <c r="H20" s="15"/>
      <c r="I20" s="15"/>
      <c r="J20" s="15"/>
    </row>
    <row r="21" spans="1:10">
      <c r="A21" s="15" t="s">
        <v>46</v>
      </c>
      <c r="B21" s="15" t="s">
        <v>737</v>
      </c>
      <c r="C21" s="15" t="s">
        <v>504</v>
      </c>
      <c r="D21" s="15">
        <v>0</v>
      </c>
      <c r="E21" s="15">
        <f>41-24</f>
        <v>17</v>
      </c>
      <c r="F21" s="15">
        <v>24</v>
      </c>
      <c r="G21" s="15"/>
      <c r="H21" s="15"/>
      <c r="I21" s="15"/>
      <c r="J21" s="15"/>
    </row>
    <row r="22" spans="1:10">
      <c r="A22" s="17" t="s">
        <v>47</v>
      </c>
      <c r="B22" s="17" t="s">
        <v>737</v>
      </c>
      <c r="C22" s="17" t="s">
        <v>504</v>
      </c>
      <c r="D22" s="17">
        <f>SUM(D20:D21)</f>
        <v>0</v>
      </c>
      <c r="E22" s="17">
        <f t="shared" ref="E22:F22" si="6">SUM(E20:E21)</f>
        <v>76</v>
      </c>
      <c r="F22" s="17">
        <f t="shared" si="6"/>
        <v>42</v>
      </c>
      <c r="G22" s="17">
        <f>D22/SUM(D22:F22)*100</f>
        <v>0</v>
      </c>
      <c r="H22" s="17">
        <f>E22/SUM(D22:F22)*100</f>
        <v>64.406779661016941</v>
      </c>
      <c r="I22" s="17">
        <f>F22/SUM(D22:F22)*100</f>
        <v>35.593220338983052</v>
      </c>
      <c r="J22" s="15">
        <f>SUM(D22:F22)</f>
        <v>118</v>
      </c>
    </row>
    <row r="23" spans="1:10">
      <c r="A23" s="16" t="s">
        <v>420</v>
      </c>
      <c r="F23" s="13" t="s">
        <v>22</v>
      </c>
      <c r="G23" s="29">
        <f>AVERAGE(G4,G7,G10,G13,G16,G19,G22)</f>
        <v>0.19906602583767935</v>
      </c>
      <c r="H23" s="29">
        <f>AVERAGE(H4,H7,H10,H13,H16,H19,H22)</f>
        <v>88.622083964801632</v>
      </c>
      <c r="I23" s="29">
        <f>AVERAGE(I4,I7,I10,I13,I16,I19,I22)</f>
        <v>11.178850009360692</v>
      </c>
      <c r="J23" s="21" t="s">
        <v>493</v>
      </c>
    </row>
    <row r="24" spans="1:10">
      <c r="F24" s="32" t="s">
        <v>570</v>
      </c>
      <c r="G24" s="29">
        <f>STDEV(G4,G7,G10,G13,G16,G19,G22)</f>
        <v>0.34397667549834826</v>
      </c>
      <c r="H24" s="29">
        <f>STDEV(H4,H7,H10,H13,H16,H19,H22)</f>
        <v>11.43545448672857</v>
      </c>
      <c r="I24" s="29">
        <f>STDEV(I4,I7,I10,I13,I16,I19,I22)</f>
        <v>11.418030046032737</v>
      </c>
      <c r="J24" s="15">
        <f>SUM(J4,J7,J10,J13,J16,J19,J22)</f>
        <v>870</v>
      </c>
    </row>
    <row r="26" spans="1:10">
      <c r="A26" s="15" t="s">
        <v>48</v>
      </c>
      <c r="B26" s="15" t="s">
        <v>49</v>
      </c>
      <c r="C26" s="15" t="s">
        <v>504</v>
      </c>
      <c r="D26" s="15">
        <v>0</v>
      </c>
      <c r="E26" s="15">
        <v>0</v>
      </c>
      <c r="F26" s="15">
        <v>1</v>
      </c>
      <c r="G26" s="15"/>
      <c r="H26" s="15"/>
      <c r="I26" s="15"/>
      <c r="J26" s="15"/>
    </row>
    <row r="27" spans="1:10">
      <c r="A27" s="15" t="s">
        <v>50</v>
      </c>
      <c r="B27" s="15" t="s">
        <v>49</v>
      </c>
      <c r="C27" s="15" t="s">
        <v>504</v>
      </c>
      <c r="D27" s="15">
        <v>0</v>
      </c>
      <c r="E27" s="15">
        <v>0</v>
      </c>
      <c r="F27" s="15">
        <v>1</v>
      </c>
      <c r="G27" s="15"/>
      <c r="H27" s="15"/>
      <c r="I27" s="15"/>
      <c r="J27" s="15"/>
    </row>
    <row r="28" spans="1:10">
      <c r="A28" s="17" t="s">
        <v>51</v>
      </c>
      <c r="B28" s="17" t="s">
        <v>49</v>
      </c>
      <c r="C28" s="17" t="s">
        <v>504</v>
      </c>
      <c r="D28" s="17">
        <f>SUM(D26:D27)</f>
        <v>0</v>
      </c>
      <c r="E28" s="17">
        <f t="shared" ref="E28:F28" si="7">SUM(E26:E27)</f>
        <v>0</v>
      </c>
      <c r="F28" s="17">
        <f t="shared" si="7"/>
        <v>2</v>
      </c>
      <c r="G28" s="17">
        <f>D28/SUM(D26:F28)*100</f>
        <v>0</v>
      </c>
      <c r="H28" s="17">
        <f>E28/SUM(D28:F28)*100</f>
        <v>0</v>
      </c>
      <c r="I28" s="17">
        <f>F28/SUM(D28:F28)*100</f>
        <v>100</v>
      </c>
      <c r="J28" s="17">
        <f>SUM(D28:F28)</f>
        <v>2</v>
      </c>
    </row>
    <row r="29" spans="1:10">
      <c r="A29" s="15" t="s">
        <v>52</v>
      </c>
      <c r="B29" s="15" t="s">
        <v>49</v>
      </c>
      <c r="C29" s="15" t="s">
        <v>504</v>
      </c>
      <c r="D29" s="15">
        <v>0</v>
      </c>
      <c r="E29" s="15">
        <v>0</v>
      </c>
      <c r="F29" s="15">
        <v>1</v>
      </c>
      <c r="G29" s="15"/>
      <c r="H29" s="15"/>
      <c r="I29" s="15"/>
      <c r="J29" s="15"/>
    </row>
    <row r="30" spans="1:10">
      <c r="A30" s="15" t="s">
        <v>53</v>
      </c>
      <c r="B30" s="15" t="s">
        <v>49</v>
      </c>
      <c r="C30" s="15" t="s">
        <v>504</v>
      </c>
      <c r="D30" s="15">
        <v>0</v>
      </c>
      <c r="E30" s="15">
        <v>0</v>
      </c>
      <c r="F30" s="15">
        <v>1</v>
      </c>
      <c r="G30" s="15"/>
      <c r="H30" s="15"/>
      <c r="I30" s="15"/>
      <c r="J30" s="15"/>
    </row>
    <row r="31" spans="1:10">
      <c r="A31" s="17" t="s">
        <v>54</v>
      </c>
      <c r="B31" s="17" t="s">
        <v>49</v>
      </c>
      <c r="C31" s="17" t="s">
        <v>504</v>
      </c>
      <c r="D31" s="17">
        <f>SUM(D29:D30)</f>
        <v>0</v>
      </c>
      <c r="E31" s="17">
        <f t="shared" ref="E31:F31" si="8">SUM(E29:E30)</f>
        <v>0</v>
      </c>
      <c r="F31" s="17">
        <f t="shared" si="8"/>
        <v>2</v>
      </c>
      <c r="G31" s="17">
        <f>D31/SUM(D31:F31)*100</f>
        <v>0</v>
      </c>
      <c r="H31" s="17">
        <f>E31/SUM(D31:F31)*100</f>
        <v>0</v>
      </c>
      <c r="I31" s="17">
        <f>F31/SUM(D31:F31)*100</f>
        <v>100</v>
      </c>
      <c r="J31" s="17">
        <f>SUM(D31:F31)</f>
        <v>2</v>
      </c>
    </row>
    <row r="32" spans="1:10">
      <c r="A32" s="15" t="s">
        <v>55</v>
      </c>
      <c r="B32" s="15" t="s">
        <v>49</v>
      </c>
      <c r="C32" s="15" t="s">
        <v>504</v>
      </c>
      <c r="D32" s="15">
        <v>0</v>
      </c>
      <c r="E32" s="15">
        <v>0</v>
      </c>
      <c r="F32" s="15">
        <v>1</v>
      </c>
      <c r="G32" s="15"/>
      <c r="H32" s="15"/>
      <c r="I32" s="15"/>
      <c r="J32" s="15"/>
    </row>
    <row r="33" spans="1:10">
      <c r="A33" s="15" t="s">
        <v>56</v>
      </c>
      <c r="B33" s="15" t="s">
        <v>49</v>
      </c>
      <c r="C33" s="15" t="s">
        <v>504</v>
      </c>
      <c r="D33" s="15">
        <v>0</v>
      </c>
      <c r="E33" s="15">
        <v>1</v>
      </c>
      <c r="F33" s="15">
        <v>0</v>
      </c>
      <c r="G33" s="15"/>
      <c r="H33" s="15"/>
      <c r="I33" s="15"/>
      <c r="J33" s="15"/>
    </row>
    <row r="34" spans="1:10">
      <c r="A34" s="15" t="s">
        <v>57</v>
      </c>
      <c r="B34" s="15" t="s">
        <v>49</v>
      </c>
      <c r="C34" s="15" t="s">
        <v>504</v>
      </c>
      <c r="D34" s="15">
        <v>0</v>
      </c>
      <c r="E34" s="15">
        <v>0</v>
      </c>
      <c r="F34" s="15">
        <v>1</v>
      </c>
      <c r="G34" s="15"/>
      <c r="H34" s="15"/>
      <c r="I34" s="15"/>
      <c r="J34" s="15"/>
    </row>
    <row r="35" spans="1:10">
      <c r="A35" s="15" t="s">
        <v>58</v>
      </c>
      <c r="B35" s="15" t="s">
        <v>49</v>
      </c>
      <c r="C35" s="15" t="s">
        <v>504</v>
      </c>
      <c r="D35" s="15">
        <v>0</v>
      </c>
      <c r="E35" s="15">
        <v>0</v>
      </c>
      <c r="F35" s="15">
        <v>1</v>
      </c>
      <c r="G35" s="15"/>
      <c r="H35" s="15"/>
      <c r="I35" s="15"/>
      <c r="J35" s="15"/>
    </row>
    <row r="36" spans="1:10">
      <c r="A36" s="17" t="s">
        <v>59</v>
      </c>
      <c r="B36" s="17" t="s">
        <v>49</v>
      </c>
      <c r="C36" s="17" t="s">
        <v>504</v>
      </c>
      <c r="D36" s="17">
        <f>SUM(D32:D35)</f>
        <v>0</v>
      </c>
      <c r="E36" s="17">
        <f t="shared" ref="E36:F36" si="9">SUM(E32:E35)</f>
        <v>1</v>
      </c>
      <c r="F36" s="17">
        <f t="shared" si="9"/>
        <v>3</v>
      </c>
      <c r="G36" s="17">
        <f>D36/SUM(D36:F36)*100</f>
        <v>0</v>
      </c>
      <c r="H36" s="17">
        <f>E36/SUM(D36:F36)*100</f>
        <v>25</v>
      </c>
      <c r="I36" s="17">
        <f>F36/SUM(D36:F36)*100</f>
        <v>75</v>
      </c>
      <c r="J36" s="17">
        <f>SUM(D36:F36)</f>
        <v>4</v>
      </c>
    </row>
    <row r="37" spans="1:10">
      <c r="A37" s="15" t="s">
        <v>60</v>
      </c>
      <c r="B37" s="15" t="s">
        <v>49</v>
      </c>
      <c r="C37" s="15" t="s">
        <v>504</v>
      </c>
      <c r="D37" s="15">
        <v>0</v>
      </c>
      <c r="E37" s="15">
        <v>0</v>
      </c>
      <c r="F37" s="15">
        <v>2</v>
      </c>
      <c r="G37" s="15"/>
      <c r="H37" s="15"/>
      <c r="I37" s="15"/>
      <c r="J37" s="15"/>
    </row>
    <row r="38" spans="1:10">
      <c r="A38" s="15" t="s">
        <v>61</v>
      </c>
      <c r="B38" s="15" t="s">
        <v>49</v>
      </c>
      <c r="C38" s="15" t="s">
        <v>504</v>
      </c>
      <c r="D38" s="15">
        <v>0</v>
      </c>
      <c r="E38" s="15">
        <v>0</v>
      </c>
      <c r="F38" s="15">
        <v>2</v>
      </c>
      <c r="G38" s="15"/>
      <c r="H38" s="15"/>
      <c r="I38" s="15"/>
      <c r="J38" s="15"/>
    </row>
    <row r="39" spans="1:10">
      <c r="A39" s="17" t="s">
        <v>62</v>
      </c>
      <c r="B39" s="17" t="s">
        <v>49</v>
      </c>
      <c r="C39" s="17" t="s">
        <v>504</v>
      </c>
      <c r="D39" s="17">
        <f>SUM(D37:D38)</f>
        <v>0</v>
      </c>
      <c r="E39" s="17">
        <f t="shared" ref="E39:F39" si="10">SUM(E37:E38)</f>
        <v>0</v>
      </c>
      <c r="F39" s="17">
        <f t="shared" si="10"/>
        <v>4</v>
      </c>
      <c r="G39" s="17">
        <f>D39/SUM(D39:F39)*100</f>
        <v>0</v>
      </c>
      <c r="H39" s="17">
        <f>E39/SUM(D39:F39)*100</f>
        <v>0</v>
      </c>
      <c r="I39" s="17">
        <f>F39/SUM(D39:F39)*100</f>
        <v>100</v>
      </c>
      <c r="J39" s="17">
        <f>SUM(D39:F39)</f>
        <v>4</v>
      </c>
    </row>
    <row r="40" spans="1:10">
      <c r="A40" s="15" t="s">
        <v>63</v>
      </c>
      <c r="B40" s="15" t="s">
        <v>49</v>
      </c>
      <c r="C40" s="15" t="s">
        <v>504</v>
      </c>
      <c r="D40" s="15">
        <v>0</v>
      </c>
      <c r="E40" s="15">
        <v>0</v>
      </c>
      <c r="F40" s="15">
        <v>1</v>
      </c>
      <c r="G40" s="15"/>
      <c r="H40" s="15"/>
      <c r="I40" s="15"/>
      <c r="J40" s="15"/>
    </row>
    <row r="41" spans="1:10">
      <c r="A41" s="15" t="s">
        <v>64</v>
      </c>
      <c r="B41" s="15" t="s">
        <v>49</v>
      </c>
      <c r="C41" s="15" t="s">
        <v>504</v>
      </c>
      <c r="D41" s="15">
        <v>0</v>
      </c>
      <c r="E41" s="15">
        <v>0</v>
      </c>
      <c r="F41" s="15">
        <v>1</v>
      </c>
      <c r="G41" s="15"/>
      <c r="H41" s="15"/>
      <c r="I41" s="15"/>
      <c r="J41" s="15"/>
    </row>
    <row r="42" spans="1:10">
      <c r="A42" s="15" t="s">
        <v>65</v>
      </c>
      <c r="B42" s="15" t="s">
        <v>49</v>
      </c>
      <c r="C42" s="15" t="s">
        <v>504</v>
      </c>
      <c r="D42" s="15">
        <v>0</v>
      </c>
      <c r="E42" s="15">
        <v>0</v>
      </c>
      <c r="F42" s="15">
        <v>1</v>
      </c>
      <c r="G42" s="15"/>
      <c r="H42" s="15"/>
      <c r="I42" s="15"/>
      <c r="J42" s="15"/>
    </row>
    <row r="43" spans="1:10">
      <c r="A43" s="17" t="s">
        <v>66</v>
      </c>
      <c r="B43" s="17" t="s">
        <v>49</v>
      </c>
      <c r="C43" s="17" t="s">
        <v>504</v>
      </c>
      <c r="D43" s="17">
        <f>SUM(D40:D42)</f>
        <v>0</v>
      </c>
      <c r="E43" s="17">
        <f t="shared" ref="E43:F43" si="11">SUM(E40:E42)</f>
        <v>0</v>
      </c>
      <c r="F43" s="17">
        <f t="shared" si="11"/>
        <v>3</v>
      </c>
      <c r="G43" s="17">
        <f>D43/SUM(D43:F43)*100</f>
        <v>0</v>
      </c>
      <c r="H43" s="17">
        <f>E43/SUM(D43:F43)*100</f>
        <v>0</v>
      </c>
      <c r="I43" s="17">
        <f>F43/SUM(D43:F43)*100</f>
        <v>100</v>
      </c>
      <c r="J43" s="17">
        <f>SUM(D43:F43)</f>
        <v>3</v>
      </c>
    </row>
    <row r="44" spans="1:10">
      <c r="A44" s="15" t="s">
        <v>67</v>
      </c>
      <c r="B44" s="15" t="s">
        <v>49</v>
      </c>
      <c r="C44" s="15" t="s">
        <v>504</v>
      </c>
      <c r="D44" s="15">
        <v>0</v>
      </c>
      <c r="E44" s="15">
        <v>0</v>
      </c>
      <c r="F44" s="15">
        <v>2</v>
      </c>
      <c r="G44" s="15"/>
      <c r="H44" s="15"/>
      <c r="I44" s="15"/>
      <c r="J44" s="15"/>
    </row>
    <row r="45" spans="1:10">
      <c r="A45" s="15" t="s">
        <v>68</v>
      </c>
      <c r="B45" s="15" t="s">
        <v>49</v>
      </c>
      <c r="C45" s="15" t="s">
        <v>504</v>
      </c>
      <c r="D45" s="15">
        <v>0</v>
      </c>
      <c r="E45" s="15">
        <v>0</v>
      </c>
      <c r="F45" s="15">
        <v>1</v>
      </c>
      <c r="G45" s="15"/>
      <c r="H45" s="15"/>
      <c r="I45" s="15"/>
      <c r="J45" s="15"/>
    </row>
    <row r="46" spans="1:10">
      <c r="A46" s="17" t="s">
        <v>69</v>
      </c>
      <c r="B46" s="17" t="s">
        <v>49</v>
      </c>
      <c r="C46" s="17" t="s">
        <v>504</v>
      </c>
      <c r="D46" s="17">
        <f>SUM(D44:D45)</f>
        <v>0</v>
      </c>
      <c r="E46" s="17">
        <f t="shared" ref="E46:F46" si="12">SUM(E44:E45)</f>
        <v>0</v>
      </c>
      <c r="F46" s="17">
        <f t="shared" si="12"/>
        <v>3</v>
      </c>
      <c r="G46" s="17">
        <f>D46/SUM(D46:F46)*100</f>
        <v>0</v>
      </c>
      <c r="H46" s="17">
        <f>E46/SUM(D46:F46)*100</f>
        <v>0</v>
      </c>
      <c r="I46" s="17">
        <f>F46/SUM(D46:F46)*100</f>
        <v>100</v>
      </c>
      <c r="J46" s="17">
        <f>SUM(D46:F46)</f>
        <v>3</v>
      </c>
    </row>
    <row r="47" spans="1:10">
      <c r="A47" s="17" t="s">
        <v>70</v>
      </c>
      <c r="B47" s="17" t="s">
        <v>49</v>
      </c>
      <c r="C47" s="17" t="s">
        <v>504</v>
      </c>
      <c r="D47" s="17">
        <v>0</v>
      </c>
      <c r="E47" s="17">
        <v>0</v>
      </c>
      <c r="F47" s="17">
        <v>2</v>
      </c>
      <c r="G47" s="17">
        <f>D47/SUM(D47:F47)*100</f>
        <v>0</v>
      </c>
      <c r="H47" s="17">
        <f>E47/SUM(D47:F47)*100</f>
        <v>0</v>
      </c>
      <c r="I47" s="17">
        <f>F47/SUM(D47:F47)*100</f>
        <v>100</v>
      </c>
      <c r="J47" s="17">
        <f>SUM(D47:F47)</f>
        <v>2</v>
      </c>
    </row>
    <row r="48" spans="1:10">
      <c r="A48" s="15" t="s">
        <v>71</v>
      </c>
      <c r="B48" s="15" t="s">
        <v>49</v>
      </c>
      <c r="C48" s="15" t="s">
        <v>504</v>
      </c>
      <c r="D48" s="15">
        <v>0</v>
      </c>
      <c r="E48" s="15">
        <v>0</v>
      </c>
      <c r="F48" s="15">
        <v>1</v>
      </c>
      <c r="G48" s="15"/>
      <c r="H48" s="15"/>
      <c r="I48" s="15"/>
      <c r="J48" s="15"/>
    </row>
    <row r="49" spans="1:10">
      <c r="A49" s="15" t="s">
        <v>72</v>
      </c>
      <c r="B49" s="15" t="s">
        <v>49</v>
      </c>
      <c r="C49" s="15" t="s">
        <v>504</v>
      </c>
      <c r="D49" s="15">
        <v>0</v>
      </c>
      <c r="E49" s="15">
        <v>0</v>
      </c>
      <c r="F49" s="15">
        <v>1</v>
      </c>
      <c r="G49" s="15"/>
      <c r="H49" s="15"/>
      <c r="I49" s="15"/>
      <c r="J49" s="15"/>
    </row>
    <row r="50" spans="1:10">
      <c r="A50" s="17" t="s">
        <v>73</v>
      </c>
      <c r="B50" s="17" t="s">
        <v>49</v>
      </c>
      <c r="C50" s="17" t="s">
        <v>504</v>
      </c>
      <c r="D50" s="17">
        <f>SUM(D48:D49)</f>
        <v>0</v>
      </c>
      <c r="E50" s="17">
        <f t="shared" ref="E50:F50" si="13">SUM(E48:E49)</f>
        <v>0</v>
      </c>
      <c r="F50" s="17">
        <f t="shared" si="13"/>
        <v>2</v>
      </c>
      <c r="G50" s="17">
        <f>D50/SUM(D50:F50)*100</f>
        <v>0</v>
      </c>
      <c r="H50" s="17">
        <f>E50/SUM(D50:F50)*100</f>
        <v>0</v>
      </c>
      <c r="I50" s="17">
        <f>F50/SUM(D50:F50)*100</f>
        <v>100</v>
      </c>
      <c r="J50" s="17">
        <f>SUM(D50:F50)</f>
        <v>2</v>
      </c>
    </row>
    <row r="51" spans="1:10">
      <c r="A51" s="15" t="s">
        <v>74</v>
      </c>
      <c r="B51" s="15" t="s">
        <v>49</v>
      </c>
      <c r="C51" s="15" t="s">
        <v>504</v>
      </c>
      <c r="D51" s="15">
        <v>0</v>
      </c>
      <c r="E51" s="15">
        <v>0</v>
      </c>
      <c r="F51" s="15">
        <v>1</v>
      </c>
      <c r="G51" s="15"/>
      <c r="H51" s="15"/>
      <c r="I51" s="15"/>
      <c r="J51" s="15"/>
    </row>
    <row r="52" spans="1:10">
      <c r="A52" s="15" t="s">
        <v>75</v>
      </c>
      <c r="B52" s="15" t="s">
        <v>49</v>
      </c>
      <c r="C52" s="15" t="s">
        <v>504</v>
      </c>
      <c r="D52" s="15">
        <v>0</v>
      </c>
      <c r="E52" s="15">
        <v>0</v>
      </c>
      <c r="F52" s="15">
        <v>1</v>
      </c>
      <c r="G52" s="15"/>
      <c r="H52" s="15"/>
      <c r="I52" s="15"/>
      <c r="J52" s="15"/>
    </row>
    <row r="53" spans="1:10">
      <c r="A53" s="17" t="s">
        <v>76</v>
      </c>
      <c r="B53" s="17" t="s">
        <v>49</v>
      </c>
      <c r="C53" s="17" t="s">
        <v>504</v>
      </c>
      <c r="D53" s="17">
        <f>SUM(D51:D52)</f>
        <v>0</v>
      </c>
      <c r="E53" s="17">
        <f t="shared" ref="E53:F53" si="14">SUM(E51:E52)</f>
        <v>0</v>
      </c>
      <c r="F53" s="17">
        <f t="shared" si="14"/>
        <v>2</v>
      </c>
      <c r="G53" s="17">
        <f>D53/SUM(D53:F53)*100</f>
        <v>0</v>
      </c>
      <c r="H53" s="17">
        <f>E53/SUM(D53:F53)*100</f>
        <v>0</v>
      </c>
      <c r="I53" s="17">
        <f>F53/SUM(D53:F53)*100</f>
        <v>100</v>
      </c>
      <c r="J53" s="17">
        <f>SUM(D53:F53)</f>
        <v>2</v>
      </c>
    </row>
    <row r="54" spans="1:10">
      <c r="A54" s="17" t="s">
        <v>77</v>
      </c>
      <c r="B54" s="17" t="s">
        <v>49</v>
      </c>
      <c r="C54" s="17" t="s">
        <v>504</v>
      </c>
      <c r="D54" s="17">
        <v>0</v>
      </c>
      <c r="E54" s="17">
        <v>0</v>
      </c>
      <c r="F54" s="17">
        <v>2</v>
      </c>
      <c r="G54" s="17">
        <f>D54/SUM(D54:F54)*100</f>
        <v>0</v>
      </c>
      <c r="H54" s="17">
        <f>E54/SUM(D54:F54)*100</f>
        <v>0</v>
      </c>
      <c r="I54" s="17">
        <f>F54/SUM(D54:F54)*100</f>
        <v>100</v>
      </c>
      <c r="J54" s="17">
        <f>SUM(D54:F54)</f>
        <v>2</v>
      </c>
    </row>
    <row r="55" spans="1:10">
      <c r="A55" s="15" t="s">
        <v>78</v>
      </c>
      <c r="B55" s="15" t="s">
        <v>49</v>
      </c>
      <c r="C55" s="15" t="s">
        <v>504</v>
      </c>
      <c r="D55" s="15">
        <v>0</v>
      </c>
      <c r="E55" s="15">
        <v>0</v>
      </c>
      <c r="F55" s="15">
        <v>1</v>
      </c>
      <c r="G55" s="15"/>
      <c r="H55" s="15"/>
      <c r="I55" s="15"/>
      <c r="J55" s="15"/>
    </row>
    <row r="56" spans="1:10">
      <c r="A56" s="15" t="s">
        <v>79</v>
      </c>
      <c r="B56" s="15" t="s">
        <v>49</v>
      </c>
      <c r="C56" s="15" t="s">
        <v>504</v>
      </c>
      <c r="D56" s="15">
        <v>0</v>
      </c>
      <c r="E56" s="15">
        <v>0</v>
      </c>
      <c r="F56" s="15">
        <v>1</v>
      </c>
      <c r="G56" s="15"/>
      <c r="H56" s="15"/>
      <c r="I56" s="15"/>
      <c r="J56" s="15"/>
    </row>
    <row r="57" spans="1:10">
      <c r="A57" s="15" t="s">
        <v>80</v>
      </c>
      <c r="B57" s="15" t="s">
        <v>49</v>
      </c>
      <c r="C57" s="15" t="s">
        <v>504</v>
      </c>
      <c r="D57" s="15">
        <v>0</v>
      </c>
      <c r="E57" s="15">
        <v>0</v>
      </c>
      <c r="F57" s="15">
        <v>1</v>
      </c>
      <c r="G57" s="15"/>
      <c r="H57" s="15"/>
      <c r="I57" s="15"/>
      <c r="J57" s="15"/>
    </row>
    <row r="58" spans="1:10">
      <c r="A58" s="17" t="s">
        <v>81</v>
      </c>
      <c r="B58" s="17" t="s">
        <v>49</v>
      </c>
      <c r="C58" s="17" t="s">
        <v>504</v>
      </c>
      <c r="D58" s="17">
        <f>SUM(D55:D57)</f>
        <v>0</v>
      </c>
      <c r="E58" s="17">
        <f t="shared" ref="E58:F58" si="15">SUM(E55:E57)</f>
        <v>0</v>
      </c>
      <c r="F58" s="17">
        <f t="shared" si="15"/>
        <v>3</v>
      </c>
      <c r="G58" s="17">
        <f>D58/SUM(D58:F58)*100</f>
        <v>0</v>
      </c>
      <c r="H58" s="17">
        <f>E58/SUM(D58:F58)*100</f>
        <v>0</v>
      </c>
      <c r="I58" s="17">
        <f>F58/SUM(D58:F58)*100</f>
        <v>100</v>
      </c>
      <c r="J58" s="17">
        <f>SUM(D58:F58)</f>
        <v>3</v>
      </c>
    </row>
    <row r="59" spans="1:10">
      <c r="A59" s="15" t="s">
        <v>82</v>
      </c>
      <c r="B59" s="15" t="s">
        <v>49</v>
      </c>
      <c r="C59" s="15" t="s">
        <v>504</v>
      </c>
      <c r="D59" s="15">
        <v>0</v>
      </c>
      <c r="E59" s="15">
        <v>0</v>
      </c>
      <c r="F59" s="15">
        <v>2</v>
      </c>
      <c r="G59" s="15"/>
      <c r="H59" s="15"/>
      <c r="I59" s="15"/>
      <c r="J59" s="15"/>
    </row>
    <row r="60" spans="1:10">
      <c r="A60" s="15" t="s">
        <v>83</v>
      </c>
      <c r="B60" s="15" t="s">
        <v>49</v>
      </c>
      <c r="C60" s="15" t="s">
        <v>504</v>
      </c>
      <c r="D60" s="15">
        <v>0</v>
      </c>
      <c r="E60" s="15">
        <v>0</v>
      </c>
      <c r="F60" s="15">
        <v>1</v>
      </c>
      <c r="G60" s="15"/>
      <c r="H60" s="15"/>
      <c r="I60" s="15"/>
      <c r="J60" s="15"/>
    </row>
    <row r="61" spans="1:10">
      <c r="A61" s="17" t="s">
        <v>84</v>
      </c>
      <c r="B61" s="17" t="s">
        <v>49</v>
      </c>
      <c r="C61" s="17" t="s">
        <v>504</v>
      </c>
      <c r="D61" s="17">
        <f>SUM(D59:D60)</f>
        <v>0</v>
      </c>
      <c r="E61" s="17">
        <f t="shared" ref="E61:F61" si="16">SUM(E59:E60)</f>
        <v>0</v>
      </c>
      <c r="F61" s="17">
        <f t="shared" si="16"/>
        <v>3</v>
      </c>
      <c r="G61" s="17">
        <f>D61/SUM(D61:F61)*100</f>
        <v>0</v>
      </c>
      <c r="H61" s="17">
        <f>E61/SUM(D61:F61)*100</f>
        <v>0</v>
      </c>
      <c r="I61" s="17">
        <f>F61/SUM(D61:F61)*100</f>
        <v>100</v>
      </c>
      <c r="J61" s="17">
        <f>SUM(D61:F61)</f>
        <v>3</v>
      </c>
    </row>
    <row r="62" spans="1:10">
      <c r="A62" s="15" t="s">
        <v>85</v>
      </c>
      <c r="B62" s="15" t="s">
        <v>49</v>
      </c>
      <c r="C62" s="15" t="s">
        <v>504</v>
      </c>
      <c r="D62" s="15">
        <v>0</v>
      </c>
      <c r="E62" s="15">
        <v>1</v>
      </c>
      <c r="F62" s="15">
        <v>1</v>
      </c>
      <c r="G62" s="15"/>
      <c r="H62" s="15"/>
      <c r="I62" s="15"/>
      <c r="J62" s="15"/>
    </row>
    <row r="63" spans="1:10">
      <c r="A63" s="15" t="s">
        <v>86</v>
      </c>
      <c r="B63" s="15" t="s">
        <v>49</v>
      </c>
      <c r="C63" s="15" t="s">
        <v>504</v>
      </c>
      <c r="D63" s="15">
        <v>0</v>
      </c>
      <c r="E63" s="15">
        <v>0</v>
      </c>
      <c r="F63" s="15">
        <v>1</v>
      </c>
      <c r="G63" s="15"/>
      <c r="H63" s="15"/>
      <c r="I63" s="15"/>
      <c r="J63" s="15"/>
    </row>
    <row r="64" spans="1:10">
      <c r="A64" s="17" t="s">
        <v>87</v>
      </c>
      <c r="B64" s="17" t="s">
        <v>49</v>
      </c>
      <c r="C64" s="17" t="s">
        <v>504</v>
      </c>
      <c r="D64" s="17">
        <f>SUM(D62:D63)</f>
        <v>0</v>
      </c>
      <c r="E64" s="17">
        <f t="shared" ref="E64:F64" si="17">SUM(E62:E63)</f>
        <v>1</v>
      </c>
      <c r="F64" s="17">
        <f t="shared" si="17"/>
        <v>2</v>
      </c>
      <c r="G64" s="17">
        <f>D64/SUM(D64:F64)*100</f>
        <v>0</v>
      </c>
      <c r="H64" s="17">
        <f>E64/SUM(D64:F64)*100</f>
        <v>33.333333333333329</v>
      </c>
      <c r="I64" s="17">
        <f>F64/SUM(D64:F64)*100</f>
        <v>66.666666666666657</v>
      </c>
      <c r="J64" s="17">
        <f>SUM(D64:F64)</f>
        <v>3</v>
      </c>
    </row>
    <row r="65" spans="1:10">
      <c r="A65" s="15" t="s">
        <v>88</v>
      </c>
      <c r="B65" s="15" t="s">
        <v>49</v>
      </c>
      <c r="C65" s="15" t="s">
        <v>504</v>
      </c>
      <c r="D65" s="15">
        <v>0</v>
      </c>
      <c r="E65" s="15">
        <v>0</v>
      </c>
      <c r="F65" s="15">
        <v>1</v>
      </c>
      <c r="G65" s="15"/>
      <c r="H65" s="15"/>
      <c r="I65" s="15"/>
      <c r="J65" s="15"/>
    </row>
    <row r="66" spans="1:10">
      <c r="A66" s="15" t="s">
        <v>89</v>
      </c>
      <c r="B66" s="15" t="s">
        <v>49</v>
      </c>
      <c r="C66" s="15" t="s">
        <v>504</v>
      </c>
      <c r="D66" s="15">
        <v>0</v>
      </c>
      <c r="E66" s="15">
        <v>0</v>
      </c>
      <c r="F66" s="15">
        <v>1</v>
      </c>
      <c r="G66" s="15"/>
      <c r="H66" s="15"/>
      <c r="I66" s="15"/>
      <c r="J66" s="15"/>
    </row>
    <row r="67" spans="1:10">
      <c r="A67" s="17" t="s">
        <v>90</v>
      </c>
      <c r="B67" s="17" t="s">
        <v>49</v>
      </c>
      <c r="C67" s="17" t="s">
        <v>504</v>
      </c>
      <c r="D67" s="17">
        <f>SUM(D65:D66)</f>
        <v>0</v>
      </c>
      <c r="E67" s="17">
        <f t="shared" ref="E67:F67" si="18">SUM(E65:E66)</f>
        <v>0</v>
      </c>
      <c r="F67" s="17">
        <f t="shared" si="18"/>
        <v>2</v>
      </c>
      <c r="G67" s="17">
        <f>D67/SUM(D67:F67)*100</f>
        <v>0</v>
      </c>
      <c r="H67" s="17">
        <f>E67/SUM(D67:F67)*100</f>
        <v>0</v>
      </c>
      <c r="I67" s="17">
        <f>F67/SUM(D67:F67)*100</f>
        <v>100</v>
      </c>
      <c r="J67" s="17">
        <f>SUM(D67:F67)</f>
        <v>2</v>
      </c>
    </row>
    <row r="68" spans="1:10">
      <c r="A68" s="17" t="s">
        <v>91</v>
      </c>
      <c r="B68" s="17" t="s">
        <v>49</v>
      </c>
      <c r="C68" s="17" t="s">
        <v>504</v>
      </c>
      <c r="D68" s="17">
        <v>0</v>
      </c>
      <c r="E68" s="17">
        <v>0</v>
      </c>
      <c r="F68" s="17">
        <v>2</v>
      </c>
      <c r="G68" s="17">
        <f>D68/SUM(D68:F68)*100</f>
        <v>0</v>
      </c>
      <c r="H68" s="17">
        <f>E68/SUM(D68:F68)*100</f>
        <v>0</v>
      </c>
      <c r="I68" s="17">
        <f>F68/SUM(D68:F68)*100</f>
        <v>100</v>
      </c>
      <c r="J68" s="17">
        <f>SUM(D68:F68)</f>
        <v>2</v>
      </c>
    </row>
    <row r="69" spans="1:10">
      <c r="A69" s="17" t="s">
        <v>92</v>
      </c>
      <c r="B69" s="17" t="s">
        <v>49</v>
      </c>
      <c r="C69" s="17" t="s">
        <v>504</v>
      </c>
      <c r="D69" s="17">
        <v>0</v>
      </c>
      <c r="E69" s="17">
        <v>0</v>
      </c>
      <c r="F69" s="17">
        <v>2</v>
      </c>
      <c r="G69" s="17">
        <f>D69/SUM(D69:F69)*100</f>
        <v>0</v>
      </c>
      <c r="H69" s="17">
        <f>E69/SUM(D69:F69)*100</f>
        <v>0</v>
      </c>
      <c r="I69" s="17">
        <f>F69/SUM(D69:F69)*100</f>
        <v>100</v>
      </c>
      <c r="J69" s="17">
        <f>SUM(D69:F69)</f>
        <v>2</v>
      </c>
    </row>
    <row r="70" spans="1:10">
      <c r="A70" s="17" t="s">
        <v>93</v>
      </c>
      <c r="B70" s="17" t="s">
        <v>49</v>
      </c>
      <c r="C70" s="17" t="s">
        <v>504</v>
      </c>
      <c r="D70" s="17">
        <v>0</v>
      </c>
      <c r="E70" s="17">
        <v>0</v>
      </c>
      <c r="F70" s="17">
        <v>2</v>
      </c>
      <c r="G70" s="17">
        <f>D70/SUM(D70:F70)*100</f>
        <v>0</v>
      </c>
      <c r="H70" s="17">
        <f>E70/SUM(D70:F70)*100</f>
        <v>0</v>
      </c>
      <c r="I70" s="17">
        <f>F70/SUM(D70:F70)*100</f>
        <v>100</v>
      </c>
      <c r="J70" s="17">
        <f>SUM(D70:F70)</f>
        <v>2</v>
      </c>
    </row>
    <row r="71" spans="1:10">
      <c r="A71" s="15" t="s">
        <v>94</v>
      </c>
      <c r="B71" s="15" t="s">
        <v>49</v>
      </c>
      <c r="C71" s="15" t="s">
        <v>504</v>
      </c>
      <c r="D71" s="15">
        <v>0</v>
      </c>
      <c r="E71" s="15">
        <v>0</v>
      </c>
      <c r="F71" s="15">
        <v>1</v>
      </c>
      <c r="G71" s="15"/>
      <c r="H71" s="15"/>
      <c r="I71" s="15"/>
      <c r="J71" s="15"/>
    </row>
    <row r="72" spans="1:10">
      <c r="A72" s="15" t="s">
        <v>95</v>
      </c>
      <c r="B72" s="15" t="s">
        <v>49</v>
      </c>
      <c r="C72" s="15" t="s">
        <v>504</v>
      </c>
      <c r="D72" s="15">
        <v>0</v>
      </c>
      <c r="E72" s="15">
        <v>0</v>
      </c>
      <c r="F72" s="15">
        <v>1</v>
      </c>
      <c r="G72" s="15"/>
      <c r="H72" s="15"/>
      <c r="I72" s="15"/>
      <c r="J72" s="15"/>
    </row>
    <row r="73" spans="1:10">
      <c r="A73" s="17" t="s">
        <v>96</v>
      </c>
      <c r="B73" s="17" t="s">
        <v>49</v>
      </c>
      <c r="C73" s="17" t="s">
        <v>504</v>
      </c>
      <c r="D73" s="17">
        <f>SUM(D71:D72)</f>
        <v>0</v>
      </c>
      <c r="E73" s="17">
        <f t="shared" ref="E73:F73" si="19">SUM(E71:E72)</f>
        <v>0</v>
      </c>
      <c r="F73" s="17">
        <f t="shared" si="19"/>
        <v>2</v>
      </c>
      <c r="G73" s="17">
        <f>D73/SUM(D73:F73)*100</f>
        <v>0</v>
      </c>
      <c r="H73" s="17">
        <f>E73/SUM(D73:F73)*100</f>
        <v>0</v>
      </c>
      <c r="I73" s="17">
        <f>F73/SUM(D73:F73)*100</f>
        <v>100</v>
      </c>
      <c r="J73" s="17">
        <f>SUM(D73:F73)</f>
        <v>2</v>
      </c>
    </row>
    <row r="74" spans="1:10">
      <c r="A74" s="15" t="s">
        <v>97</v>
      </c>
      <c r="B74" s="15" t="s">
        <v>49</v>
      </c>
      <c r="C74" s="15" t="s">
        <v>504</v>
      </c>
      <c r="D74" s="15">
        <v>0</v>
      </c>
      <c r="E74" s="15">
        <v>0</v>
      </c>
      <c r="F74" s="15">
        <v>1</v>
      </c>
      <c r="G74" s="15"/>
      <c r="H74" s="15"/>
      <c r="I74" s="15"/>
      <c r="J74" s="15"/>
    </row>
    <row r="75" spans="1:10">
      <c r="A75" s="15" t="s">
        <v>98</v>
      </c>
      <c r="B75" s="15" t="s">
        <v>49</v>
      </c>
      <c r="C75" s="15" t="s">
        <v>504</v>
      </c>
      <c r="D75" s="15">
        <v>0</v>
      </c>
      <c r="E75" s="15">
        <v>0</v>
      </c>
      <c r="F75" s="15">
        <v>1</v>
      </c>
      <c r="G75" s="15"/>
      <c r="H75" s="15"/>
      <c r="I75" s="15"/>
      <c r="J75" s="15"/>
    </row>
    <row r="76" spans="1:10">
      <c r="A76" s="17" t="s">
        <v>99</v>
      </c>
      <c r="B76" s="17" t="s">
        <v>49</v>
      </c>
      <c r="C76" s="17" t="s">
        <v>504</v>
      </c>
      <c r="D76" s="17">
        <f>SUM(D74:D75)</f>
        <v>0</v>
      </c>
      <c r="E76" s="17">
        <f t="shared" ref="E76:F76" si="20">SUM(E74:E75)</f>
        <v>0</v>
      </c>
      <c r="F76" s="17">
        <f t="shared" si="20"/>
        <v>2</v>
      </c>
      <c r="G76" s="17">
        <f>D76/SUM(D76:F76)*100</f>
        <v>0</v>
      </c>
      <c r="H76" s="17">
        <f>E76/SUM(D76:F76)*100</f>
        <v>0</v>
      </c>
      <c r="I76" s="17">
        <f>F76/SUM(D76:F76)*100</f>
        <v>100</v>
      </c>
      <c r="J76" s="17">
        <f>SUM(D76:F76)</f>
        <v>2</v>
      </c>
    </row>
    <row r="77" spans="1:10">
      <c r="A77" s="15" t="s">
        <v>100</v>
      </c>
      <c r="B77" s="15" t="s">
        <v>49</v>
      </c>
      <c r="C77" s="15" t="s">
        <v>504</v>
      </c>
      <c r="D77" s="15">
        <v>0</v>
      </c>
      <c r="E77" s="15">
        <v>0</v>
      </c>
      <c r="F77" s="15">
        <v>2</v>
      </c>
      <c r="G77" s="15"/>
      <c r="H77" s="15"/>
      <c r="I77" s="15"/>
      <c r="J77" s="15"/>
    </row>
    <row r="78" spans="1:10">
      <c r="A78" s="15" t="s">
        <v>101</v>
      </c>
      <c r="B78" s="15" t="s">
        <v>49</v>
      </c>
      <c r="C78" s="15" t="s">
        <v>504</v>
      </c>
      <c r="D78" s="15">
        <v>0</v>
      </c>
      <c r="E78" s="15">
        <v>0</v>
      </c>
      <c r="F78" s="15">
        <v>1</v>
      </c>
      <c r="G78" s="15"/>
      <c r="H78" s="15"/>
      <c r="I78" s="15"/>
      <c r="J78" s="15"/>
    </row>
    <row r="79" spans="1:10">
      <c r="A79" s="15" t="s">
        <v>102</v>
      </c>
      <c r="B79" s="15" t="s">
        <v>49</v>
      </c>
      <c r="C79" s="15" t="s">
        <v>504</v>
      </c>
      <c r="D79" s="15">
        <v>0</v>
      </c>
      <c r="E79" s="15">
        <v>0</v>
      </c>
      <c r="F79" s="15">
        <v>1</v>
      </c>
      <c r="G79" s="15"/>
      <c r="H79" s="15"/>
      <c r="I79" s="15"/>
      <c r="J79" s="15"/>
    </row>
    <row r="80" spans="1:10">
      <c r="A80" s="17" t="s">
        <v>103</v>
      </c>
      <c r="B80" s="17" t="s">
        <v>49</v>
      </c>
      <c r="C80" s="17" t="s">
        <v>504</v>
      </c>
      <c r="D80" s="17">
        <f>SUM(D77:D79)</f>
        <v>0</v>
      </c>
      <c r="E80" s="17">
        <f t="shared" ref="E80:F80" si="21">SUM(E77:E79)</f>
        <v>0</v>
      </c>
      <c r="F80" s="17">
        <f t="shared" si="21"/>
        <v>4</v>
      </c>
      <c r="G80" s="17">
        <f>D80/SUM(D80:F80)*100</f>
        <v>0</v>
      </c>
      <c r="H80" s="17">
        <f>E80/SUM(D80:F80)*100</f>
        <v>0</v>
      </c>
      <c r="I80" s="17">
        <f>F80/SUM(D80:F80)*100</f>
        <v>100</v>
      </c>
      <c r="J80" s="17">
        <f>SUM(D80:F80)</f>
        <v>4</v>
      </c>
    </row>
    <row r="81" spans="1:10">
      <c r="A81" s="15" t="s">
        <v>104</v>
      </c>
      <c r="B81" s="15" t="s">
        <v>49</v>
      </c>
      <c r="C81" s="15" t="s">
        <v>504</v>
      </c>
      <c r="D81" s="15">
        <v>0</v>
      </c>
      <c r="E81" s="15">
        <v>0</v>
      </c>
      <c r="F81" s="15">
        <v>2</v>
      </c>
      <c r="G81" s="15"/>
      <c r="H81" s="15"/>
      <c r="I81" s="15"/>
      <c r="J81" s="15"/>
    </row>
    <row r="82" spans="1:10">
      <c r="A82" s="15" t="s">
        <v>105</v>
      </c>
      <c r="B82" s="15" t="s">
        <v>49</v>
      </c>
      <c r="C82" s="15" t="s">
        <v>504</v>
      </c>
      <c r="D82" s="15">
        <v>0</v>
      </c>
      <c r="E82" s="15">
        <v>0</v>
      </c>
      <c r="F82" s="15">
        <v>1</v>
      </c>
      <c r="G82" s="15"/>
      <c r="H82" s="15"/>
      <c r="I82" s="15"/>
      <c r="J82" s="15"/>
    </row>
    <row r="83" spans="1:10">
      <c r="A83" s="17" t="s">
        <v>106</v>
      </c>
      <c r="B83" s="17" t="s">
        <v>49</v>
      </c>
      <c r="C83" s="17" t="s">
        <v>504</v>
      </c>
      <c r="D83" s="17">
        <f>SUM(D81:D82)</f>
        <v>0</v>
      </c>
      <c r="E83" s="17">
        <f t="shared" ref="E83:F83" si="22">SUM(E81:E82)</f>
        <v>0</v>
      </c>
      <c r="F83" s="17">
        <f t="shared" si="22"/>
        <v>3</v>
      </c>
      <c r="G83" s="17">
        <f>D83/SUM(D83:F83)*100</f>
        <v>0</v>
      </c>
      <c r="H83" s="17">
        <f>E83/SUM(D83:F83)*100</f>
        <v>0</v>
      </c>
      <c r="I83" s="17">
        <f>F83/SUM(D83:F83)*100</f>
        <v>100</v>
      </c>
      <c r="J83" s="17">
        <f>SUM(D83:F83)</f>
        <v>3</v>
      </c>
    </row>
    <row r="84" spans="1:10">
      <c r="A84" s="16" t="s">
        <v>494</v>
      </c>
      <c r="E84" s="26"/>
      <c r="F84" s="13" t="s">
        <v>22</v>
      </c>
      <c r="G84" s="29">
        <f>AVERAGE(G83,G80,G76,G73,G70,G69,G68,G67,G64,G61,G58,G54,G53,G50,G47,G46,G43,G39,G36,G31,G28)</f>
        <v>0</v>
      </c>
      <c r="H84" s="29">
        <f t="shared" ref="H84:I84" si="23">AVERAGE(H83,H80,H76,H73,H70,H69,H68,H67,H64,H61,H58,H54,H53,H50,H47,H46,H43,H39,H36,H31,H28)</f>
        <v>2.7777777777777777</v>
      </c>
      <c r="I84" s="29">
        <f t="shared" si="23"/>
        <v>97.222222222222214</v>
      </c>
      <c r="J84" s="56" t="s">
        <v>492</v>
      </c>
    </row>
    <row r="85" spans="1:10">
      <c r="E85" s="26"/>
      <c r="F85" s="32" t="s">
        <v>570</v>
      </c>
      <c r="G85" s="29">
        <f>STDEV(G83,G80,G76,G73,G70,G69,G68,G67,G64,G61,G58,G54,G53,G50,G47,G46,G43,G39,G36,G31,G28)</f>
        <v>0</v>
      </c>
      <c r="H85" s="29">
        <f t="shared" ref="H85:I85" si="24">STDEV(H83,H80,H76,H73,H70,H69,H68,H67,H64,H61,H58,H54,H53,H50,H47,H46,H43,H39,H36,H31,H28)</f>
        <v>8.87151079037295</v>
      </c>
      <c r="I85" s="29">
        <f t="shared" si="24"/>
        <v>8.8715107903729535</v>
      </c>
      <c r="J85" s="57">
        <f>SUM(J83,J80,J76,J73,J70,J69,J68,J67,J64,J61,J58,J54,J53,J50,J47,J46,J43,J39,J36,J31,J28)</f>
        <v>54</v>
      </c>
    </row>
    <row r="87" spans="1:10">
      <c r="A87" s="15" t="s">
        <v>107</v>
      </c>
      <c r="B87" s="15" t="s">
        <v>738</v>
      </c>
      <c r="C87" s="15" t="s">
        <v>504</v>
      </c>
      <c r="D87" s="15">
        <v>0</v>
      </c>
      <c r="E87" s="15">
        <v>37</v>
      </c>
      <c r="F87" s="15">
        <v>2</v>
      </c>
      <c r="G87" s="15"/>
      <c r="H87" s="15"/>
      <c r="I87" s="15"/>
      <c r="J87" s="15"/>
    </row>
    <row r="88" spans="1:10">
      <c r="A88" s="15" t="s">
        <v>108</v>
      </c>
      <c r="B88" s="15" t="s">
        <v>738</v>
      </c>
      <c r="C88" s="15" t="s">
        <v>504</v>
      </c>
      <c r="D88" s="15">
        <v>0</v>
      </c>
      <c r="E88" s="15">
        <v>24</v>
      </c>
      <c r="F88" s="15">
        <v>0</v>
      </c>
      <c r="G88" s="15"/>
      <c r="H88" s="15"/>
      <c r="I88" s="15"/>
      <c r="J88" s="15"/>
    </row>
    <row r="89" spans="1:10">
      <c r="A89" s="17" t="s">
        <v>109</v>
      </c>
      <c r="B89" s="17" t="s">
        <v>738</v>
      </c>
      <c r="C89" s="17" t="s">
        <v>504</v>
      </c>
      <c r="D89" s="17">
        <f>SUM(D87:D88)</f>
        <v>0</v>
      </c>
      <c r="E89" s="17">
        <f t="shared" ref="E89:F89" si="25">SUM(E87:E88)</f>
        <v>61</v>
      </c>
      <c r="F89" s="17">
        <f t="shared" si="25"/>
        <v>2</v>
      </c>
      <c r="G89" s="17">
        <f>D89/SUM(D89:F89)*100</f>
        <v>0</v>
      </c>
      <c r="H89" s="17">
        <f>E89/SUM(D89:F89)*100</f>
        <v>96.825396825396822</v>
      </c>
      <c r="I89" s="17">
        <f>F89/SUM(D89:F89)*100</f>
        <v>3.1746031746031744</v>
      </c>
      <c r="J89" s="17">
        <f>SUM(D89:F89)</f>
        <v>63</v>
      </c>
    </row>
    <row r="90" spans="1:10">
      <c r="A90" s="15" t="s">
        <v>110</v>
      </c>
      <c r="B90" s="15" t="s">
        <v>738</v>
      </c>
      <c r="C90" s="15" t="s">
        <v>504</v>
      </c>
      <c r="D90" s="15">
        <v>0</v>
      </c>
      <c r="E90" s="15">
        <v>34</v>
      </c>
      <c r="F90" s="15">
        <v>5</v>
      </c>
      <c r="G90" s="15"/>
      <c r="H90" s="15"/>
      <c r="I90" s="15"/>
      <c r="J90" s="15"/>
    </row>
    <row r="91" spans="1:10">
      <c r="A91" s="15" t="s">
        <v>111</v>
      </c>
      <c r="B91" s="15" t="s">
        <v>738</v>
      </c>
      <c r="C91" s="15" t="s">
        <v>504</v>
      </c>
      <c r="D91" s="15">
        <v>0</v>
      </c>
      <c r="E91" s="15">
        <f>35-13</f>
        <v>22</v>
      </c>
      <c r="F91" s="15">
        <v>13</v>
      </c>
      <c r="G91" s="15"/>
      <c r="H91" s="15"/>
      <c r="I91" s="15"/>
      <c r="J91" s="15"/>
    </row>
    <row r="92" spans="1:10">
      <c r="A92" s="17" t="s">
        <v>112</v>
      </c>
      <c r="B92" s="17" t="s">
        <v>738</v>
      </c>
      <c r="C92" s="17" t="s">
        <v>504</v>
      </c>
      <c r="D92" s="17">
        <f>SUM(D90:D91)</f>
        <v>0</v>
      </c>
      <c r="E92" s="17">
        <f t="shared" ref="E92:F92" si="26">SUM(E90:E91)</f>
        <v>56</v>
      </c>
      <c r="F92" s="17">
        <f t="shared" si="26"/>
        <v>18</v>
      </c>
      <c r="G92" s="17">
        <f>D92/SUM(D92:F92)*100</f>
        <v>0</v>
      </c>
      <c r="H92" s="17">
        <f>E92/SUM(D92:F92)*100</f>
        <v>75.675675675675677</v>
      </c>
      <c r="I92" s="17">
        <f>F92/SUM(D92:F92)*100</f>
        <v>24.324324324324326</v>
      </c>
      <c r="J92" s="17">
        <f>SUM(D92:F92)</f>
        <v>74</v>
      </c>
    </row>
    <row r="93" spans="1:10">
      <c r="A93" s="15" t="s">
        <v>113</v>
      </c>
      <c r="B93" s="15" t="s">
        <v>738</v>
      </c>
      <c r="C93" s="15" t="s">
        <v>504</v>
      </c>
      <c r="D93" s="15">
        <v>0</v>
      </c>
      <c r="E93" s="15">
        <v>44</v>
      </c>
      <c r="F93" s="15">
        <v>10</v>
      </c>
      <c r="G93" s="15"/>
      <c r="H93" s="15"/>
      <c r="I93" s="15"/>
      <c r="J93" s="15"/>
    </row>
    <row r="94" spans="1:10">
      <c r="A94" s="15" t="s">
        <v>114</v>
      </c>
      <c r="B94" s="15" t="s">
        <v>738</v>
      </c>
      <c r="C94" s="15" t="s">
        <v>504</v>
      </c>
      <c r="D94" s="15">
        <v>0</v>
      </c>
      <c r="E94" s="15">
        <v>35</v>
      </c>
      <c r="F94" s="15">
        <v>5</v>
      </c>
      <c r="G94" s="15"/>
      <c r="H94" s="15"/>
      <c r="I94" s="15"/>
      <c r="J94" s="15"/>
    </row>
    <row r="95" spans="1:10">
      <c r="A95" s="17" t="s">
        <v>115</v>
      </c>
      <c r="B95" s="17" t="s">
        <v>738</v>
      </c>
      <c r="C95" s="17" t="s">
        <v>504</v>
      </c>
      <c r="D95" s="17">
        <f>SUM(D93:D94)</f>
        <v>0</v>
      </c>
      <c r="E95" s="17">
        <f t="shared" ref="E95:F95" si="27">SUM(E93:E94)</f>
        <v>79</v>
      </c>
      <c r="F95" s="17">
        <f t="shared" si="27"/>
        <v>15</v>
      </c>
      <c r="G95" s="17">
        <f>D95/SUM(D95:F95)*100</f>
        <v>0</v>
      </c>
      <c r="H95" s="17">
        <f>E95/SUM(D95:F95)*100</f>
        <v>84.042553191489361</v>
      </c>
      <c r="I95" s="17">
        <f>F95/SUM(D95:F95)*100</f>
        <v>15.957446808510639</v>
      </c>
      <c r="J95" s="17">
        <f>SUM(D95:F95)</f>
        <v>94</v>
      </c>
    </row>
    <row r="96" spans="1:10">
      <c r="A96" s="15" t="s">
        <v>116</v>
      </c>
      <c r="B96" s="15" t="s">
        <v>738</v>
      </c>
      <c r="C96" s="15" t="s">
        <v>504</v>
      </c>
      <c r="D96" s="15">
        <v>0</v>
      </c>
      <c r="E96" s="15">
        <v>45</v>
      </c>
      <c r="F96" s="15">
        <v>5</v>
      </c>
      <c r="G96" s="15"/>
      <c r="H96" s="15"/>
      <c r="I96" s="15"/>
      <c r="J96" s="15"/>
    </row>
    <row r="97" spans="1:10">
      <c r="A97" s="15" t="s">
        <v>117</v>
      </c>
      <c r="B97" s="15" t="s">
        <v>738</v>
      </c>
      <c r="C97" s="15" t="s">
        <v>504</v>
      </c>
      <c r="D97" s="15">
        <v>1</v>
      </c>
      <c r="E97" s="15">
        <f>42-6</f>
        <v>36</v>
      </c>
      <c r="F97" s="15">
        <v>6</v>
      </c>
      <c r="G97" s="15"/>
      <c r="H97" s="15"/>
      <c r="I97" s="15"/>
      <c r="J97" s="15"/>
    </row>
    <row r="98" spans="1:10">
      <c r="A98" s="17" t="s">
        <v>118</v>
      </c>
      <c r="B98" s="17" t="s">
        <v>738</v>
      </c>
      <c r="C98" s="17" t="s">
        <v>504</v>
      </c>
      <c r="D98" s="17">
        <f>SUM(D96:D97)</f>
        <v>1</v>
      </c>
      <c r="E98" s="17">
        <f t="shared" ref="E98:F98" si="28">SUM(E96:E97)</f>
        <v>81</v>
      </c>
      <c r="F98" s="17">
        <f t="shared" si="28"/>
        <v>11</v>
      </c>
      <c r="G98" s="17">
        <f>D98/SUM(D98:F98)*100</f>
        <v>1.0752688172043012</v>
      </c>
      <c r="H98" s="17">
        <f>E98/SUM(D98:F98)*100</f>
        <v>87.096774193548384</v>
      </c>
      <c r="I98" s="17">
        <f>F98/SUM(D98:F98)*100</f>
        <v>11.827956989247312</v>
      </c>
      <c r="J98" s="17">
        <f>SUM(D98:F98)</f>
        <v>93</v>
      </c>
    </row>
    <row r="99" spans="1:10">
      <c r="A99" s="15" t="s">
        <v>119</v>
      </c>
      <c r="B99" s="15" t="s">
        <v>738</v>
      </c>
      <c r="C99" s="15" t="s">
        <v>504</v>
      </c>
      <c r="D99" s="15">
        <v>0</v>
      </c>
      <c r="E99" s="15">
        <v>50</v>
      </c>
      <c r="F99" s="15">
        <v>0</v>
      </c>
      <c r="G99" s="15"/>
      <c r="H99" s="15"/>
      <c r="I99" s="15"/>
      <c r="J99" s="15"/>
    </row>
    <row r="100" spans="1:10">
      <c r="A100" s="15" t="s">
        <v>120</v>
      </c>
      <c r="B100" s="15" t="s">
        <v>738</v>
      </c>
      <c r="C100" s="15" t="s">
        <v>504</v>
      </c>
      <c r="D100" s="15">
        <v>0</v>
      </c>
      <c r="E100" s="15">
        <f>71-12</f>
        <v>59</v>
      </c>
      <c r="F100" s="15">
        <v>12</v>
      </c>
      <c r="G100" s="15"/>
      <c r="H100" s="15"/>
      <c r="I100" s="15"/>
      <c r="J100" s="15"/>
    </row>
    <row r="101" spans="1:10">
      <c r="A101" s="17" t="s">
        <v>121</v>
      </c>
      <c r="B101" s="17" t="s">
        <v>738</v>
      </c>
      <c r="C101" s="17" t="s">
        <v>504</v>
      </c>
      <c r="D101" s="17">
        <f>SUM(D99:D100)</f>
        <v>0</v>
      </c>
      <c r="E101" s="17">
        <f t="shared" ref="E101:F101" si="29">SUM(E99:E100)</f>
        <v>109</v>
      </c>
      <c r="F101" s="17">
        <f t="shared" si="29"/>
        <v>12</v>
      </c>
      <c r="G101" s="17">
        <f>D101/SUM(D101:F101)*100</f>
        <v>0</v>
      </c>
      <c r="H101" s="17">
        <f>E101/SUM(D101:F101)*100</f>
        <v>90.082644628099175</v>
      </c>
      <c r="I101" s="17">
        <f>F101/SUM(D101:F101)*100</f>
        <v>9.9173553719008272</v>
      </c>
      <c r="J101" s="17">
        <f>SUM(D101:F101)</f>
        <v>121</v>
      </c>
    </row>
    <row r="102" spans="1:10">
      <c r="A102" s="15" t="s">
        <v>122</v>
      </c>
      <c r="B102" s="58" t="s">
        <v>738</v>
      </c>
      <c r="C102" s="15" t="s">
        <v>504</v>
      </c>
      <c r="D102" s="15">
        <v>0</v>
      </c>
      <c r="E102" s="15">
        <v>67</v>
      </c>
      <c r="F102" s="15">
        <v>0</v>
      </c>
      <c r="G102" s="15"/>
      <c r="H102" s="15"/>
      <c r="I102" s="15"/>
      <c r="J102" s="15"/>
    </row>
    <row r="103" spans="1:10">
      <c r="A103" s="15" t="s">
        <v>123</v>
      </c>
      <c r="B103" s="59" t="s">
        <v>738</v>
      </c>
      <c r="C103" s="15" t="s">
        <v>504</v>
      </c>
      <c r="D103" s="15">
        <v>0</v>
      </c>
      <c r="E103" s="15">
        <v>16</v>
      </c>
      <c r="F103" s="15">
        <v>0</v>
      </c>
      <c r="G103" s="15"/>
      <c r="H103" s="15"/>
      <c r="I103" s="15"/>
      <c r="J103" s="15"/>
    </row>
    <row r="104" spans="1:10">
      <c r="A104" s="17" t="s">
        <v>124</v>
      </c>
      <c r="B104" s="60" t="s">
        <v>738</v>
      </c>
      <c r="C104" s="17" t="s">
        <v>504</v>
      </c>
      <c r="D104" s="17">
        <f>SUM(D102:D103)</f>
        <v>0</v>
      </c>
      <c r="E104" s="17">
        <f t="shared" ref="E104:F104" si="30">SUM(E102:E103)</f>
        <v>83</v>
      </c>
      <c r="F104" s="17">
        <f t="shared" si="30"/>
        <v>0</v>
      </c>
      <c r="G104" s="17">
        <f>D104/SUM(D104:F104)*100</f>
        <v>0</v>
      </c>
      <c r="H104" s="17">
        <f>E104/SUM(D104:F104)*100</f>
        <v>100</v>
      </c>
      <c r="I104" s="17">
        <f>F104/SUM(D104:F104)*100</f>
        <v>0</v>
      </c>
      <c r="J104" s="17">
        <f>SUM(D104:F104)</f>
        <v>83</v>
      </c>
    </row>
    <row r="105" spans="1:10">
      <c r="A105" s="15" t="s">
        <v>125</v>
      </c>
      <c r="B105" s="58" t="s">
        <v>738</v>
      </c>
      <c r="C105" s="15" t="s">
        <v>504</v>
      </c>
      <c r="D105" s="15">
        <v>0</v>
      </c>
      <c r="E105" s="15">
        <v>43</v>
      </c>
      <c r="F105" s="15">
        <v>5</v>
      </c>
      <c r="G105" s="15"/>
      <c r="H105" s="15"/>
      <c r="I105" s="15"/>
      <c r="J105" s="15"/>
    </row>
    <row r="106" spans="1:10">
      <c r="A106" s="15" t="s">
        <v>126</v>
      </c>
      <c r="B106" s="59" t="s">
        <v>738</v>
      </c>
      <c r="C106" s="15" t="s">
        <v>504</v>
      </c>
      <c r="D106" s="15">
        <v>0</v>
      </c>
      <c r="E106" s="15">
        <v>40</v>
      </c>
      <c r="F106" s="15">
        <v>7</v>
      </c>
      <c r="G106" s="15"/>
      <c r="H106" s="15"/>
      <c r="I106" s="15"/>
      <c r="J106" s="15"/>
    </row>
    <row r="107" spans="1:10">
      <c r="A107" s="17" t="s">
        <v>127</v>
      </c>
      <c r="B107" s="60" t="s">
        <v>738</v>
      </c>
      <c r="C107" s="17" t="s">
        <v>504</v>
      </c>
      <c r="D107" s="17">
        <f>SUM(D105:D106)</f>
        <v>0</v>
      </c>
      <c r="E107" s="17">
        <f t="shared" ref="E107:F107" si="31">SUM(E105:E106)</f>
        <v>83</v>
      </c>
      <c r="F107" s="17">
        <f t="shared" si="31"/>
        <v>12</v>
      </c>
      <c r="G107" s="17">
        <f>D107/SUM(D107:F107)*100</f>
        <v>0</v>
      </c>
      <c r="H107" s="17">
        <f>E107/SUM(D107:F107)*100</f>
        <v>87.368421052631589</v>
      </c>
      <c r="I107" s="17">
        <f>F107/SUM(D107:F107)*100</f>
        <v>12.631578947368421</v>
      </c>
      <c r="J107" s="17">
        <f>SUM(D107:F107)</f>
        <v>95</v>
      </c>
    </row>
    <row r="108" spans="1:10">
      <c r="A108" s="15" t="s">
        <v>128</v>
      </c>
      <c r="B108" s="58" t="s">
        <v>738</v>
      </c>
      <c r="C108" s="15" t="s">
        <v>504</v>
      </c>
      <c r="D108" s="15">
        <v>0</v>
      </c>
      <c r="E108" s="15">
        <v>61</v>
      </c>
      <c r="F108" s="15">
        <v>5</v>
      </c>
      <c r="G108" s="15"/>
      <c r="H108" s="15"/>
      <c r="I108" s="15"/>
      <c r="J108" s="15"/>
    </row>
    <row r="109" spans="1:10">
      <c r="A109" s="15" t="s">
        <v>129</v>
      </c>
      <c r="B109" s="59" t="s">
        <v>738</v>
      </c>
      <c r="C109" s="15" t="s">
        <v>504</v>
      </c>
      <c r="D109" s="15">
        <v>0</v>
      </c>
      <c r="E109" s="15">
        <v>54</v>
      </c>
      <c r="F109" s="15">
        <v>5</v>
      </c>
      <c r="G109" s="15"/>
      <c r="H109" s="15"/>
      <c r="I109" s="15"/>
      <c r="J109" s="15"/>
    </row>
    <row r="110" spans="1:10">
      <c r="A110" s="17" t="s">
        <v>130</v>
      </c>
      <c r="B110" s="60" t="s">
        <v>738</v>
      </c>
      <c r="C110" s="17" t="s">
        <v>504</v>
      </c>
      <c r="D110" s="17">
        <f>SUM(D108:D109)</f>
        <v>0</v>
      </c>
      <c r="E110" s="17">
        <f t="shared" ref="E110:F110" si="32">SUM(E108:E109)</f>
        <v>115</v>
      </c>
      <c r="F110" s="17">
        <f t="shared" si="32"/>
        <v>10</v>
      </c>
      <c r="G110" s="17">
        <f>D110/SUM(D110:F110)*100</f>
        <v>0</v>
      </c>
      <c r="H110" s="17">
        <f>E110/SUM(D110:F110)*100</f>
        <v>92</v>
      </c>
      <c r="I110" s="17">
        <f>F110/SUM(D110:F110)*100</f>
        <v>8</v>
      </c>
      <c r="J110" s="17">
        <f>SUM(D110:F110)</f>
        <v>125</v>
      </c>
    </row>
    <row r="111" spans="1:10">
      <c r="A111" s="15" t="s">
        <v>131</v>
      </c>
      <c r="B111" s="58" t="s">
        <v>738</v>
      </c>
      <c r="C111" s="15" t="s">
        <v>504</v>
      </c>
      <c r="D111" s="15">
        <v>0</v>
      </c>
      <c r="E111" s="15">
        <v>45</v>
      </c>
      <c r="F111" s="15">
        <v>0</v>
      </c>
      <c r="G111" s="15"/>
      <c r="H111" s="15"/>
      <c r="I111" s="15"/>
      <c r="J111" s="15"/>
    </row>
    <row r="112" spans="1:10">
      <c r="A112" s="15" t="s">
        <v>132</v>
      </c>
      <c r="B112" s="59" t="s">
        <v>738</v>
      </c>
      <c r="C112" s="15" t="s">
        <v>504</v>
      </c>
      <c r="D112" s="15">
        <v>0</v>
      </c>
      <c r="E112" s="15">
        <f>51-4</f>
        <v>47</v>
      </c>
      <c r="F112" s="15">
        <v>4</v>
      </c>
      <c r="G112" s="15"/>
      <c r="H112" s="15"/>
      <c r="I112" s="15"/>
      <c r="J112" s="15"/>
    </row>
    <row r="113" spans="1:10">
      <c r="A113" s="17" t="s">
        <v>133</v>
      </c>
      <c r="B113" s="60" t="s">
        <v>738</v>
      </c>
      <c r="C113" s="17" t="s">
        <v>504</v>
      </c>
      <c r="D113" s="17">
        <f>SUM(D111:D112)</f>
        <v>0</v>
      </c>
      <c r="E113" s="17">
        <f t="shared" ref="E113:F113" si="33">SUM(E111:E112)</f>
        <v>92</v>
      </c>
      <c r="F113" s="17">
        <f t="shared" si="33"/>
        <v>4</v>
      </c>
      <c r="G113" s="17">
        <f>D113/SUM(D113:F113)*100</f>
        <v>0</v>
      </c>
      <c r="H113" s="17">
        <f>E113/SUM(D113:F113)*100</f>
        <v>95.833333333333343</v>
      </c>
      <c r="I113" s="17">
        <f>F113/SUM(D113:F113)*100</f>
        <v>4.1666666666666661</v>
      </c>
      <c r="J113" s="17">
        <f>SUM(D113:F113)</f>
        <v>96</v>
      </c>
    </row>
    <row r="114" spans="1:10">
      <c r="A114" s="15" t="s">
        <v>134</v>
      </c>
      <c r="B114" s="58" t="s">
        <v>738</v>
      </c>
      <c r="C114" s="15" t="s">
        <v>504</v>
      </c>
      <c r="D114" s="15">
        <v>0</v>
      </c>
      <c r="E114" s="15">
        <v>57</v>
      </c>
      <c r="F114" s="15">
        <v>1</v>
      </c>
      <c r="G114" s="15"/>
      <c r="H114" s="15"/>
      <c r="I114" s="15"/>
      <c r="J114" s="15"/>
    </row>
    <row r="115" spans="1:10">
      <c r="A115" s="15" t="s">
        <v>135</v>
      </c>
      <c r="B115" s="59" t="s">
        <v>738</v>
      </c>
      <c r="C115" s="15" t="s">
        <v>504</v>
      </c>
      <c r="D115" s="15">
        <v>0</v>
      </c>
      <c r="E115" s="15">
        <v>41</v>
      </c>
      <c r="F115" s="15">
        <v>1</v>
      </c>
      <c r="G115" s="15"/>
      <c r="H115" s="15"/>
      <c r="I115" s="15"/>
      <c r="J115" s="15"/>
    </row>
    <row r="116" spans="1:10">
      <c r="A116" s="17" t="s">
        <v>136</v>
      </c>
      <c r="B116" s="60" t="s">
        <v>738</v>
      </c>
      <c r="C116" s="17" t="s">
        <v>504</v>
      </c>
      <c r="D116" s="17">
        <f>SUM(D114:D115)</f>
        <v>0</v>
      </c>
      <c r="E116" s="17">
        <f t="shared" ref="E116:F116" si="34">SUM(E114:E115)</f>
        <v>98</v>
      </c>
      <c r="F116" s="17">
        <f t="shared" si="34"/>
        <v>2</v>
      </c>
      <c r="G116" s="17">
        <f>D116/SUM(D116:F116)*100</f>
        <v>0</v>
      </c>
      <c r="H116" s="17">
        <f>E116/SUM(D116:F116)*100</f>
        <v>98</v>
      </c>
      <c r="I116" s="17">
        <f>F116/SUM(D116:F116)*100</f>
        <v>2</v>
      </c>
      <c r="J116" s="17">
        <f>SUM(D116:F116)</f>
        <v>100</v>
      </c>
    </row>
    <row r="117" spans="1:10">
      <c r="A117" s="15" t="s">
        <v>137</v>
      </c>
      <c r="B117" s="58" t="s">
        <v>738</v>
      </c>
      <c r="C117" s="15" t="s">
        <v>504</v>
      </c>
      <c r="D117" s="15">
        <v>0</v>
      </c>
      <c r="E117" s="15">
        <f>52-7</f>
        <v>45</v>
      </c>
      <c r="F117" s="15">
        <v>7</v>
      </c>
      <c r="G117" s="15"/>
      <c r="H117" s="15"/>
      <c r="I117" s="15"/>
      <c r="J117" s="15"/>
    </row>
    <row r="118" spans="1:10">
      <c r="A118" s="15" t="s">
        <v>138</v>
      </c>
      <c r="B118" s="59" t="s">
        <v>738</v>
      </c>
      <c r="C118" s="15" t="s">
        <v>504</v>
      </c>
      <c r="D118" s="15">
        <v>0</v>
      </c>
      <c r="E118" s="15">
        <v>27</v>
      </c>
      <c r="F118" s="15">
        <v>1</v>
      </c>
      <c r="G118" s="15"/>
      <c r="H118" s="15"/>
      <c r="I118" s="15"/>
      <c r="J118" s="15"/>
    </row>
    <row r="119" spans="1:10">
      <c r="A119" s="17" t="s">
        <v>139</v>
      </c>
      <c r="B119" s="60" t="s">
        <v>738</v>
      </c>
      <c r="C119" s="17" t="s">
        <v>504</v>
      </c>
      <c r="D119" s="17">
        <f>SUM(D117:D118)</f>
        <v>0</v>
      </c>
      <c r="E119" s="17">
        <f t="shared" ref="E119:F119" si="35">SUM(E117:E118)</f>
        <v>72</v>
      </c>
      <c r="F119" s="17">
        <f t="shared" si="35"/>
        <v>8</v>
      </c>
      <c r="G119" s="17">
        <f>D119/SUM(D119:F119)*100</f>
        <v>0</v>
      </c>
      <c r="H119" s="17">
        <f>E119/SUM(D119:F119)*100</f>
        <v>90</v>
      </c>
      <c r="I119" s="17">
        <f>F119/SUM(D119:F119)*100</f>
        <v>10</v>
      </c>
      <c r="J119" s="17">
        <f>SUM(D119:F119)</f>
        <v>80</v>
      </c>
    </row>
    <row r="120" spans="1:10">
      <c r="A120" s="15" t="s">
        <v>140</v>
      </c>
      <c r="B120" s="58" t="s">
        <v>738</v>
      </c>
      <c r="C120" s="15" t="s">
        <v>504</v>
      </c>
      <c r="D120" s="15">
        <v>0</v>
      </c>
      <c r="E120" s="15">
        <v>44</v>
      </c>
      <c r="F120" s="15">
        <v>0</v>
      </c>
      <c r="G120" s="15"/>
      <c r="H120" s="15"/>
      <c r="I120" s="15"/>
      <c r="J120" s="15"/>
    </row>
    <row r="121" spans="1:10">
      <c r="A121" s="15" t="s">
        <v>141</v>
      </c>
      <c r="B121" s="59" t="s">
        <v>738</v>
      </c>
      <c r="C121" s="15" t="s">
        <v>504</v>
      </c>
      <c r="D121" s="18">
        <v>0</v>
      </c>
      <c r="E121" s="18">
        <v>46</v>
      </c>
      <c r="F121" s="18">
        <v>1</v>
      </c>
      <c r="G121" s="15"/>
      <c r="H121" s="15"/>
      <c r="I121" s="15"/>
      <c r="J121" s="15"/>
    </row>
    <row r="122" spans="1:10">
      <c r="A122" s="17" t="s">
        <v>142</v>
      </c>
      <c r="B122" s="60" t="s">
        <v>738</v>
      </c>
      <c r="C122" s="17" t="s">
        <v>504</v>
      </c>
      <c r="D122" s="17">
        <f>SUM(D120:D120)</f>
        <v>0</v>
      </c>
      <c r="E122" s="17">
        <f>SUM(E120:E120)</f>
        <v>44</v>
      </c>
      <c r="F122" s="17">
        <f>SUM(F120:F120)</f>
        <v>0</v>
      </c>
      <c r="G122" s="17">
        <f>D122/SUM(D122:F122)*100</f>
        <v>0</v>
      </c>
      <c r="H122" s="17">
        <f>E122/SUM(D122:F122)*100</f>
        <v>100</v>
      </c>
      <c r="I122" s="17">
        <f>F122/SUM(D122:F122)*100</f>
        <v>0</v>
      </c>
      <c r="J122" s="17">
        <f>SUM(D122:F122)</f>
        <v>44</v>
      </c>
    </row>
    <row r="123" spans="1:10">
      <c r="A123" s="16" t="s">
        <v>495</v>
      </c>
      <c r="F123" s="13" t="s">
        <v>22</v>
      </c>
      <c r="G123" s="29">
        <f>AVERAGE(G122,G119,G116,G113,G110,G107,G104,G101,G98,G95,G92,G89)</f>
        <v>8.9605734767025103E-2</v>
      </c>
      <c r="H123" s="29">
        <f t="shared" ref="H123:I123" si="36">AVERAGE(H122,H119,H116,H113,H110,H107,H104,H101,H98,H95,H92,H89)</f>
        <v>91.41039990834787</v>
      </c>
      <c r="I123" s="29">
        <f t="shared" si="36"/>
        <v>8.4999943568851126</v>
      </c>
      <c r="J123" s="56" t="s">
        <v>492</v>
      </c>
    </row>
    <row r="124" spans="1:10">
      <c r="F124" s="32" t="s">
        <v>570</v>
      </c>
      <c r="G124" s="29">
        <f>STDEV(G122,G119,G116,G113,G110,G107,G104,G101,G98,G95,G92,G89)</f>
        <v>0.31040337053205691</v>
      </c>
      <c r="H124" s="29">
        <f t="shared" ref="H124:I124" si="37">STDEV(H122,H119,H116,H113,H110,H107,H104,H101,H98,H95,H92,H89)</f>
        <v>7.2662437625389549</v>
      </c>
      <c r="I124" s="29">
        <f t="shared" si="37"/>
        <v>7.214660080944939</v>
      </c>
      <c r="J124" s="57">
        <f>SUM(J122,J119,J116,J113,J110,J107,J104,J101,J98,J95,J92,J89)</f>
        <v>1068</v>
      </c>
    </row>
    <row r="127" spans="1:10">
      <c r="A127" s="15" t="s">
        <v>143</v>
      </c>
      <c r="B127" s="15" t="s">
        <v>496</v>
      </c>
      <c r="C127" s="15" t="s">
        <v>504</v>
      </c>
      <c r="D127" s="15">
        <v>3</v>
      </c>
      <c r="E127" s="15">
        <v>35</v>
      </c>
      <c r="F127" s="15">
        <v>10</v>
      </c>
      <c r="G127" s="15"/>
      <c r="H127" s="15"/>
      <c r="I127" s="15"/>
      <c r="J127" s="15"/>
    </row>
    <row r="128" spans="1:10">
      <c r="A128" s="15" t="s">
        <v>144</v>
      </c>
      <c r="B128" s="15" t="s">
        <v>496</v>
      </c>
      <c r="C128" s="15" t="s">
        <v>504</v>
      </c>
      <c r="D128" s="15">
        <v>1</v>
      </c>
      <c r="E128" s="15">
        <v>31</v>
      </c>
      <c r="F128" s="15">
        <v>10</v>
      </c>
      <c r="G128" s="15"/>
      <c r="H128" s="15"/>
      <c r="I128" s="15"/>
      <c r="J128" s="15"/>
    </row>
    <row r="129" spans="1:10">
      <c r="A129" s="17" t="s">
        <v>145</v>
      </c>
      <c r="B129" s="17" t="s">
        <v>496</v>
      </c>
      <c r="C129" s="17" t="s">
        <v>504</v>
      </c>
      <c r="D129" s="17">
        <f>SUM(D127:D128)</f>
        <v>4</v>
      </c>
      <c r="E129" s="17">
        <f t="shared" ref="E129:F129" si="38">SUM(E127:E128)</f>
        <v>66</v>
      </c>
      <c r="F129" s="17">
        <f t="shared" si="38"/>
        <v>20</v>
      </c>
      <c r="G129" s="17">
        <f>D129/SUM(D129:F129)*100</f>
        <v>4.4444444444444446</v>
      </c>
      <c r="H129" s="17">
        <f>E129/SUM(D129:F129)*100</f>
        <v>73.333333333333329</v>
      </c>
      <c r="I129" s="17">
        <f>F129/SUM(D129:F129)*100</f>
        <v>22.222222222222221</v>
      </c>
      <c r="J129" s="17">
        <f>SUM(D129:F129)</f>
        <v>90</v>
      </c>
    </row>
    <row r="130" spans="1:10">
      <c r="A130" s="15" t="s">
        <v>146</v>
      </c>
      <c r="B130" s="15" t="s">
        <v>496</v>
      </c>
      <c r="C130" s="15" t="s">
        <v>504</v>
      </c>
      <c r="D130" s="15">
        <v>0</v>
      </c>
      <c r="E130" s="15">
        <v>43</v>
      </c>
      <c r="F130" s="15">
        <v>10</v>
      </c>
      <c r="G130" s="15"/>
      <c r="H130" s="15"/>
      <c r="I130" s="15"/>
      <c r="J130" s="15"/>
    </row>
    <row r="131" spans="1:10">
      <c r="A131" s="15" t="s">
        <v>147</v>
      </c>
      <c r="B131" s="15" t="s">
        <v>496</v>
      </c>
      <c r="C131" s="15" t="s">
        <v>504</v>
      </c>
      <c r="D131" s="15">
        <v>0</v>
      </c>
      <c r="E131" s="15">
        <f>69-17</f>
        <v>52</v>
      </c>
      <c r="F131" s="15">
        <v>17</v>
      </c>
      <c r="G131" s="15"/>
      <c r="H131" s="15"/>
      <c r="I131" s="15"/>
      <c r="J131" s="15"/>
    </row>
    <row r="132" spans="1:10">
      <c r="A132" s="17" t="s">
        <v>148</v>
      </c>
      <c r="B132" s="17" t="s">
        <v>496</v>
      </c>
      <c r="C132" s="17" t="s">
        <v>504</v>
      </c>
      <c r="D132" s="17">
        <f>SUM(D130:D131)</f>
        <v>0</v>
      </c>
      <c r="E132" s="17">
        <f t="shared" ref="E132:F132" si="39">SUM(E130:E131)</f>
        <v>95</v>
      </c>
      <c r="F132" s="17">
        <f t="shared" si="39"/>
        <v>27</v>
      </c>
      <c r="G132" s="17">
        <f>D132/SUM(D132:F132)*100</f>
        <v>0</v>
      </c>
      <c r="H132" s="17">
        <f>E132/SUM(D132:F132)*100</f>
        <v>77.868852459016395</v>
      </c>
      <c r="I132" s="17">
        <f>F132/SUM(D132:F132)*100</f>
        <v>22.131147540983605</v>
      </c>
      <c r="J132" s="17">
        <f>SUM(D132:F132)</f>
        <v>122</v>
      </c>
    </row>
    <row r="133" spans="1:10">
      <c r="A133" s="15" t="s">
        <v>149</v>
      </c>
      <c r="B133" s="15" t="s">
        <v>496</v>
      </c>
      <c r="C133" s="15" t="s">
        <v>504</v>
      </c>
      <c r="D133" s="15">
        <v>3</v>
      </c>
      <c r="E133" s="15">
        <f>74-12</f>
        <v>62</v>
      </c>
      <c r="F133" s="15">
        <v>12</v>
      </c>
      <c r="G133" s="15"/>
      <c r="H133" s="15"/>
      <c r="I133" s="15"/>
      <c r="J133" s="15"/>
    </row>
    <row r="134" spans="1:10">
      <c r="A134" s="15" t="s">
        <v>150</v>
      </c>
      <c r="B134" s="15" t="s">
        <v>496</v>
      </c>
      <c r="C134" s="15" t="s">
        <v>504</v>
      </c>
      <c r="D134" s="15">
        <v>2</v>
      </c>
      <c r="E134" s="15">
        <f>60-14</f>
        <v>46</v>
      </c>
      <c r="F134" s="15">
        <v>14</v>
      </c>
      <c r="G134" s="15"/>
      <c r="H134" s="15"/>
      <c r="I134" s="15"/>
      <c r="J134" s="15"/>
    </row>
    <row r="135" spans="1:10">
      <c r="A135" s="17" t="s">
        <v>151</v>
      </c>
      <c r="B135" s="17" t="s">
        <v>496</v>
      </c>
      <c r="C135" s="17" t="s">
        <v>504</v>
      </c>
      <c r="D135" s="17">
        <f>SUM(D133:D134)</f>
        <v>5</v>
      </c>
      <c r="E135" s="17">
        <f t="shared" ref="E135:F135" si="40">SUM(E133:E134)</f>
        <v>108</v>
      </c>
      <c r="F135" s="17">
        <f t="shared" si="40"/>
        <v>26</v>
      </c>
      <c r="G135" s="17">
        <f>D135/SUM(D135:F135)*100</f>
        <v>3.5971223021582732</v>
      </c>
      <c r="H135" s="17">
        <f>E135/SUM(D135:F135)*100</f>
        <v>77.697841726618705</v>
      </c>
      <c r="I135" s="17">
        <f>F135/SUM(D135:F135)*100</f>
        <v>18.705035971223023</v>
      </c>
      <c r="J135" s="17">
        <f>SUM(D135:F135)</f>
        <v>139</v>
      </c>
    </row>
    <row r="136" spans="1:10">
      <c r="A136" s="15" t="s">
        <v>152</v>
      </c>
      <c r="B136" s="15" t="s">
        <v>496</v>
      </c>
      <c r="C136" s="15" t="s">
        <v>504</v>
      </c>
      <c r="D136" s="15">
        <v>0</v>
      </c>
      <c r="E136" s="15">
        <v>33</v>
      </c>
      <c r="F136" s="15">
        <v>4</v>
      </c>
      <c r="G136" s="15"/>
      <c r="H136" s="15"/>
      <c r="I136" s="15"/>
      <c r="J136" s="15"/>
    </row>
    <row r="137" spans="1:10">
      <c r="A137" s="15" t="s">
        <v>153</v>
      </c>
      <c r="B137" s="15" t="s">
        <v>496</v>
      </c>
      <c r="C137" s="15" t="s">
        <v>504</v>
      </c>
      <c r="D137" s="15">
        <v>2</v>
      </c>
      <c r="E137" s="15">
        <v>41</v>
      </c>
      <c r="F137" s="15">
        <v>4</v>
      </c>
      <c r="G137" s="15"/>
      <c r="H137" s="15"/>
      <c r="I137" s="15"/>
      <c r="J137" s="15"/>
    </row>
    <row r="138" spans="1:10">
      <c r="A138" s="17" t="s">
        <v>154</v>
      </c>
      <c r="B138" s="17" t="s">
        <v>496</v>
      </c>
      <c r="C138" s="17" t="s">
        <v>504</v>
      </c>
      <c r="D138" s="17">
        <f>SUM(D136:D137)</f>
        <v>2</v>
      </c>
      <c r="E138" s="17">
        <f t="shared" ref="E138:F138" si="41">SUM(E136:E137)</f>
        <v>74</v>
      </c>
      <c r="F138" s="17">
        <f t="shared" si="41"/>
        <v>8</v>
      </c>
      <c r="G138" s="17">
        <f>D138/SUM(D138:F138)*100</f>
        <v>2.3809523809523809</v>
      </c>
      <c r="H138" s="17">
        <f>E138/SUM(D138:F138)*100</f>
        <v>88.095238095238088</v>
      </c>
      <c r="I138" s="17">
        <f>F138/SUM(D138:F138)*100</f>
        <v>9.5238095238095237</v>
      </c>
      <c r="J138" s="17">
        <f>SUM(D138:F138)</f>
        <v>84</v>
      </c>
    </row>
    <row r="139" spans="1:10">
      <c r="A139" s="15" t="s">
        <v>155</v>
      </c>
      <c r="B139" s="15" t="s">
        <v>496</v>
      </c>
      <c r="C139" s="15" t="s">
        <v>504</v>
      </c>
      <c r="D139" s="15">
        <v>0</v>
      </c>
      <c r="E139" s="15">
        <f>46-7</f>
        <v>39</v>
      </c>
      <c r="F139" s="15">
        <v>7</v>
      </c>
      <c r="G139" s="15"/>
      <c r="H139" s="15"/>
      <c r="I139" s="15"/>
      <c r="J139" s="15"/>
    </row>
    <row r="140" spans="1:10">
      <c r="A140" s="15" t="s">
        <v>156</v>
      </c>
      <c r="B140" s="15" t="s">
        <v>496</v>
      </c>
      <c r="C140" s="15" t="s">
        <v>504</v>
      </c>
      <c r="D140" s="15">
        <v>0</v>
      </c>
      <c r="E140" s="15">
        <v>41</v>
      </c>
      <c r="F140" s="15">
        <v>7</v>
      </c>
      <c r="G140" s="15"/>
      <c r="H140" s="15"/>
      <c r="I140" s="15"/>
      <c r="J140" s="15"/>
    </row>
    <row r="141" spans="1:10">
      <c r="A141" s="17" t="s">
        <v>157</v>
      </c>
      <c r="B141" s="17" t="s">
        <v>496</v>
      </c>
      <c r="C141" s="17" t="s">
        <v>504</v>
      </c>
      <c r="D141" s="17">
        <f>SUM(D139:D140)</f>
        <v>0</v>
      </c>
      <c r="E141" s="17">
        <f t="shared" ref="E141:F141" si="42">SUM(E139:E140)</f>
        <v>80</v>
      </c>
      <c r="F141" s="17">
        <f t="shared" si="42"/>
        <v>14</v>
      </c>
      <c r="G141" s="17">
        <f>D141/SUM(D141:F141)*100</f>
        <v>0</v>
      </c>
      <c r="H141" s="17">
        <f>E141/SUM(D141:F141)*100</f>
        <v>85.106382978723403</v>
      </c>
      <c r="I141" s="17">
        <f>F141/SUM(D141:F141)*100</f>
        <v>14.893617021276595</v>
      </c>
      <c r="J141" s="17">
        <f>SUM(D141:F141)</f>
        <v>94</v>
      </c>
    </row>
    <row r="142" spans="1:10">
      <c r="A142" s="15" t="s">
        <v>158</v>
      </c>
      <c r="B142" s="15" t="s">
        <v>496</v>
      </c>
      <c r="C142" s="15" t="s">
        <v>504</v>
      </c>
      <c r="D142" s="15">
        <v>2</v>
      </c>
      <c r="E142" s="15">
        <f>41-7</f>
        <v>34</v>
      </c>
      <c r="F142" s="15">
        <v>7</v>
      </c>
      <c r="G142" s="15"/>
      <c r="H142" s="15"/>
      <c r="I142" s="15"/>
      <c r="J142" s="15"/>
    </row>
    <row r="143" spans="1:10">
      <c r="A143" s="15" t="s">
        <v>159</v>
      </c>
      <c r="B143" s="15" t="s">
        <v>496</v>
      </c>
      <c r="C143" s="15" t="s">
        <v>504</v>
      </c>
      <c r="D143" s="15">
        <v>0</v>
      </c>
      <c r="E143" s="15">
        <f>57-11</f>
        <v>46</v>
      </c>
      <c r="F143" s="15">
        <v>11</v>
      </c>
      <c r="G143" s="15"/>
      <c r="H143" s="15"/>
      <c r="I143" s="15"/>
      <c r="J143" s="15"/>
    </row>
    <row r="144" spans="1:10">
      <c r="A144" s="17" t="s">
        <v>160</v>
      </c>
      <c r="B144" s="17" t="s">
        <v>496</v>
      </c>
      <c r="C144" s="17" t="s">
        <v>504</v>
      </c>
      <c r="D144" s="17">
        <f>SUM(D142:D143)</f>
        <v>2</v>
      </c>
      <c r="E144" s="17">
        <f t="shared" ref="E144:F144" si="43">SUM(E142:E143)</f>
        <v>80</v>
      </c>
      <c r="F144" s="17">
        <f t="shared" si="43"/>
        <v>18</v>
      </c>
      <c r="G144" s="17">
        <f>D144/SUM(D144:F144)*100</f>
        <v>2</v>
      </c>
      <c r="H144" s="17">
        <f>E144/SUM(D144:F144)*100</f>
        <v>80</v>
      </c>
      <c r="I144" s="17">
        <f>F144/SUM(D144:F144)*100</f>
        <v>18</v>
      </c>
      <c r="J144" s="17">
        <f>SUM(D144:F144)</f>
        <v>100</v>
      </c>
    </row>
    <row r="145" spans="1:10">
      <c r="A145" s="15" t="s">
        <v>161</v>
      </c>
      <c r="B145" s="15" t="s">
        <v>496</v>
      </c>
      <c r="C145" s="15" t="s">
        <v>504</v>
      </c>
      <c r="D145" s="15">
        <v>0</v>
      </c>
      <c r="E145" s="15">
        <v>22</v>
      </c>
      <c r="F145" s="15">
        <v>7</v>
      </c>
      <c r="G145" s="15"/>
      <c r="H145" s="15"/>
      <c r="I145" s="15"/>
      <c r="J145" s="15"/>
    </row>
    <row r="146" spans="1:10">
      <c r="A146" s="15" t="s">
        <v>162</v>
      </c>
      <c r="B146" s="15" t="s">
        <v>496</v>
      </c>
      <c r="C146" s="15" t="s">
        <v>504</v>
      </c>
      <c r="D146" s="15">
        <v>1</v>
      </c>
      <c r="E146" s="15">
        <v>44</v>
      </c>
      <c r="F146" s="15">
        <v>4</v>
      </c>
      <c r="G146" s="15"/>
      <c r="H146" s="15"/>
      <c r="I146" s="15"/>
      <c r="J146" s="15"/>
    </row>
    <row r="147" spans="1:10">
      <c r="A147" s="17" t="s">
        <v>163</v>
      </c>
      <c r="B147" s="17" t="s">
        <v>496</v>
      </c>
      <c r="C147" s="17" t="s">
        <v>504</v>
      </c>
      <c r="D147" s="17">
        <f>SUM(D145:D146)</f>
        <v>1</v>
      </c>
      <c r="E147" s="17">
        <f t="shared" ref="E147:F147" si="44">SUM(E145:E146)</f>
        <v>66</v>
      </c>
      <c r="F147" s="17">
        <f t="shared" si="44"/>
        <v>11</v>
      </c>
      <c r="G147" s="17">
        <f>D147/SUM(D147:F147)*100</f>
        <v>1.2820512820512819</v>
      </c>
      <c r="H147" s="17">
        <f>E147/SUM(D147:F147)*100</f>
        <v>84.615384615384613</v>
      </c>
      <c r="I147" s="17">
        <f>F147/SUM(D147:F147)*100</f>
        <v>14.102564102564102</v>
      </c>
      <c r="J147" s="17">
        <f>SUM(D147:F147)</f>
        <v>78</v>
      </c>
    </row>
    <row r="148" spans="1:10">
      <c r="A148" s="15" t="s">
        <v>164</v>
      </c>
      <c r="B148" s="15" t="s">
        <v>496</v>
      </c>
      <c r="C148" s="15" t="s">
        <v>504</v>
      </c>
      <c r="D148" s="15">
        <v>0</v>
      </c>
      <c r="E148" s="15">
        <v>56</v>
      </c>
      <c r="F148" s="15">
        <v>2</v>
      </c>
      <c r="G148" s="15"/>
      <c r="H148" s="15"/>
      <c r="I148" s="15"/>
      <c r="J148" s="15"/>
    </row>
    <row r="149" spans="1:10">
      <c r="A149" s="15" t="s">
        <v>165</v>
      </c>
      <c r="B149" s="15" t="s">
        <v>496</v>
      </c>
      <c r="C149" s="15" t="s">
        <v>504</v>
      </c>
      <c r="D149" s="15">
        <v>0</v>
      </c>
      <c r="E149" s="15">
        <f>47-9</f>
        <v>38</v>
      </c>
      <c r="F149" s="15">
        <v>9</v>
      </c>
      <c r="G149" s="15"/>
      <c r="H149" s="15"/>
      <c r="I149" s="15"/>
      <c r="J149" s="15"/>
    </row>
    <row r="150" spans="1:10">
      <c r="A150" s="17" t="s">
        <v>166</v>
      </c>
      <c r="B150" s="17" t="s">
        <v>496</v>
      </c>
      <c r="C150" s="17" t="s">
        <v>504</v>
      </c>
      <c r="D150" s="17">
        <f>SUM(D148:D149)</f>
        <v>0</v>
      </c>
      <c r="E150" s="17">
        <f t="shared" ref="E150:F150" si="45">SUM(E148:E149)</f>
        <v>94</v>
      </c>
      <c r="F150" s="17">
        <f t="shared" si="45"/>
        <v>11</v>
      </c>
      <c r="G150" s="17">
        <f>D150/SUM(D150:F150)*100</f>
        <v>0</v>
      </c>
      <c r="H150" s="17">
        <f>E150/SUM(D150:F150)*100</f>
        <v>89.523809523809533</v>
      </c>
      <c r="I150" s="17">
        <f>F150/SUM(D150:F150)*100</f>
        <v>10.476190476190476</v>
      </c>
      <c r="J150" s="17">
        <f>SUM(D150:F150)</f>
        <v>105</v>
      </c>
    </row>
    <row r="151" spans="1:10">
      <c r="A151" s="15" t="s">
        <v>167</v>
      </c>
      <c r="B151" s="15" t="s">
        <v>496</v>
      </c>
      <c r="C151" s="15" t="s">
        <v>504</v>
      </c>
      <c r="D151" s="15">
        <v>0</v>
      </c>
      <c r="E151" s="15">
        <f>54-7</f>
        <v>47</v>
      </c>
      <c r="F151" s="15">
        <v>7</v>
      </c>
      <c r="G151" s="15"/>
      <c r="H151" s="15"/>
      <c r="I151" s="15"/>
      <c r="J151" s="15"/>
    </row>
    <row r="152" spans="1:10">
      <c r="A152" s="15" t="s">
        <v>168</v>
      </c>
      <c r="B152" s="15" t="s">
        <v>496</v>
      </c>
      <c r="C152" s="15" t="s">
        <v>504</v>
      </c>
      <c r="D152" s="15">
        <v>1</v>
      </c>
      <c r="E152" s="15">
        <v>47</v>
      </c>
      <c r="F152" s="15">
        <v>0</v>
      </c>
      <c r="G152" s="15"/>
      <c r="H152" s="15"/>
      <c r="I152" s="15"/>
      <c r="J152" s="15"/>
    </row>
    <row r="153" spans="1:10">
      <c r="A153" s="17" t="s">
        <v>169</v>
      </c>
      <c r="B153" s="17" t="s">
        <v>496</v>
      </c>
      <c r="C153" s="17" t="s">
        <v>504</v>
      </c>
      <c r="D153" s="17">
        <f>SUM(D151:D152)</f>
        <v>1</v>
      </c>
      <c r="E153" s="17">
        <f t="shared" ref="E153:F153" si="46">SUM(E151:E152)</f>
        <v>94</v>
      </c>
      <c r="F153" s="17">
        <f t="shared" si="46"/>
        <v>7</v>
      </c>
      <c r="G153" s="17">
        <f>D153/SUM(D153:F153)*100</f>
        <v>0.98039215686274506</v>
      </c>
      <c r="H153" s="17">
        <f>E153/SUM(D153:F153)*100</f>
        <v>92.156862745098039</v>
      </c>
      <c r="I153" s="17">
        <f>F153/SUM(D153:F153)*100</f>
        <v>6.8627450980392162</v>
      </c>
      <c r="J153" s="17">
        <f>SUM(D153:F153)</f>
        <v>102</v>
      </c>
    </row>
    <row r="154" spans="1:10">
      <c r="A154" s="16" t="s">
        <v>299</v>
      </c>
      <c r="F154" s="13" t="s">
        <v>22</v>
      </c>
      <c r="G154" s="29">
        <f>AVERAGE(G153,G150,G147,G144,G141,G138,G135,G132,G129)</f>
        <v>1.6316625073854585</v>
      </c>
      <c r="H154" s="29">
        <f t="shared" ref="H154:I154" si="47">AVERAGE(H153,H150,H147,H144,H141,H138,H135,H132,H129)</f>
        <v>83.155300608580234</v>
      </c>
      <c r="I154" s="29">
        <f t="shared" si="47"/>
        <v>15.213036884034308</v>
      </c>
      <c r="J154" s="56" t="s">
        <v>492</v>
      </c>
    </row>
    <row r="155" spans="1:10">
      <c r="F155" s="32" t="s">
        <v>570</v>
      </c>
      <c r="G155" s="29">
        <f>STDEV(G153,G150,G147,G144,G141,G138,G135,G132,G129)</f>
        <v>1.6203869501519166</v>
      </c>
      <c r="H155" s="29">
        <f t="shared" ref="H155:I155" si="48">STDEV(H153,H150,H147,H144,H141,H138,H135,H132,H129)</f>
        <v>6.2857470853501036</v>
      </c>
      <c r="I155" s="29">
        <f t="shared" si="48"/>
        <v>5.5092845362141176</v>
      </c>
      <c r="J155" s="57">
        <f>SUM(J153,J150,J147,J144,J141,J138,J135,J132,J129)</f>
        <v>914</v>
      </c>
    </row>
    <row r="157" spans="1:10">
      <c r="A157" s="36"/>
      <c r="B157" s="40" t="s">
        <v>717</v>
      </c>
      <c r="C157" s="40"/>
      <c r="D157" s="40"/>
    </row>
    <row r="158" spans="1:10">
      <c r="A158" s="36"/>
      <c r="B158" s="21" t="s">
        <v>576</v>
      </c>
      <c r="C158" s="21" t="s">
        <v>577</v>
      </c>
      <c r="D158" s="21" t="s">
        <v>578</v>
      </c>
    </row>
    <row r="159" spans="1:10">
      <c r="A159" s="21" t="s">
        <v>718</v>
      </c>
      <c r="B159" s="15">
        <v>0.13869999999999999</v>
      </c>
      <c r="C159" s="15">
        <v>0.89159999999999995</v>
      </c>
      <c r="D159" s="15">
        <v>0.83069999999999999</v>
      </c>
    </row>
    <row r="160" spans="1:10">
      <c r="A160" s="21" t="s">
        <v>719</v>
      </c>
      <c r="B160" s="15">
        <v>0.2107</v>
      </c>
      <c r="C160" s="15">
        <v>0.3896</v>
      </c>
      <c r="D160" s="15">
        <v>0.28939999999999999</v>
      </c>
    </row>
    <row r="161" spans="1:4">
      <c r="A161" s="48" t="s">
        <v>720</v>
      </c>
      <c r="B161" s="15">
        <v>0.17660000000000001</v>
      </c>
      <c r="C161" s="15">
        <v>4.2299999999999997E-2</v>
      </c>
      <c r="D161" s="15">
        <v>4.48E-2</v>
      </c>
    </row>
    <row r="162" spans="1:4">
      <c r="A162" s="21" t="s">
        <v>721</v>
      </c>
      <c r="B162" s="15" t="s">
        <v>725</v>
      </c>
      <c r="C162" s="15" t="s">
        <v>725</v>
      </c>
      <c r="D162" s="15" t="s">
        <v>734</v>
      </c>
    </row>
    <row r="163" spans="1:4">
      <c r="A163" s="21" t="s">
        <v>722</v>
      </c>
      <c r="B163" s="15" t="s">
        <v>725</v>
      </c>
      <c r="C163" s="15" t="s">
        <v>725</v>
      </c>
      <c r="D163" s="15" t="s">
        <v>734</v>
      </c>
    </row>
    <row r="164" spans="1:4">
      <c r="A164" s="21" t="s">
        <v>723</v>
      </c>
      <c r="B164" s="15" t="s">
        <v>725</v>
      </c>
      <c r="C164" s="15" t="s">
        <v>725</v>
      </c>
      <c r="D164" s="15" t="s">
        <v>734</v>
      </c>
    </row>
    <row r="165" spans="1:4">
      <c r="A165" s="21" t="s">
        <v>724</v>
      </c>
      <c r="B165" s="15" t="s">
        <v>725</v>
      </c>
      <c r="C165" s="15" t="s">
        <v>725</v>
      </c>
      <c r="D165" s="15">
        <v>0.85560000000000003</v>
      </c>
    </row>
  </sheetData>
  <mergeCells count="1">
    <mergeCell ref="B157:D15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CC7E4-737D-B544-9DF3-861ACE1CDB0C}">
  <dimension ref="A1:J176"/>
  <sheetViews>
    <sheetView zoomScale="75" workbookViewId="0">
      <pane ySplit="1" topLeftCell="A2" activePane="bottomLeft" state="frozen"/>
      <selection pane="bottomLeft" activeCell="D20" sqref="A1:XFD1048576"/>
    </sheetView>
  </sheetViews>
  <sheetFormatPr baseColWidth="10" defaultRowHeight="16"/>
  <cols>
    <col min="1" max="1" width="52.83203125" bestFit="1" customWidth="1"/>
    <col min="2" max="2" width="20.1640625" bestFit="1" customWidth="1"/>
    <col min="3" max="3" width="18.33203125" bestFit="1" customWidth="1"/>
    <col min="4" max="4" width="26" bestFit="1" customWidth="1"/>
    <col min="5" max="5" width="35" bestFit="1" customWidth="1"/>
    <col min="6" max="6" width="21" bestFit="1" customWidth="1"/>
    <col min="7" max="7" width="20.33203125" bestFit="1" customWidth="1"/>
    <col min="8" max="8" width="29.83203125" bestFit="1" customWidth="1"/>
    <col min="9" max="9" width="15.5" bestFit="1" customWidth="1"/>
    <col min="10" max="10" width="20" bestFit="1" customWidth="1"/>
  </cols>
  <sheetData>
    <row r="1" spans="1:10">
      <c r="A1" s="12" t="s">
        <v>0</v>
      </c>
      <c r="B1" s="12" t="s">
        <v>25</v>
      </c>
      <c r="C1" s="12" t="s">
        <v>26</v>
      </c>
      <c r="D1" s="12" t="s">
        <v>573</v>
      </c>
      <c r="E1" s="12" t="s">
        <v>579</v>
      </c>
      <c r="F1" s="12" t="s">
        <v>575</v>
      </c>
      <c r="G1" s="13" t="s">
        <v>576</v>
      </c>
      <c r="H1" s="13" t="s">
        <v>580</v>
      </c>
      <c r="I1" s="13" t="s">
        <v>578</v>
      </c>
      <c r="J1" s="39" t="s">
        <v>491</v>
      </c>
    </row>
    <row r="2" spans="1:10">
      <c r="A2" s="15" t="s">
        <v>808</v>
      </c>
      <c r="B2" s="15" t="s">
        <v>496</v>
      </c>
      <c r="C2" s="15" t="s">
        <v>832</v>
      </c>
      <c r="D2" s="15">
        <v>29</v>
      </c>
      <c r="E2" s="15">
        <f>68-43</f>
        <v>25</v>
      </c>
      <c r="F2" s="15">
        <f>72-29</f>
        <v>43</v>
      </c>
      <c r="G2" s="15"/>
      <c r="H2" s="15"/>
      <c r="I2" s="15"/>
      <c r="J2" s="15"/>
    </row>
    <row r="3" spans="1:10">
      <c r="A3" s="15" t="s">
        <v>809</v>
      </c>
      <c r="B3" s="15" t="s">
        <v>496</v>
      </c>
      <c r="C3" s="15" t="s">
        <v>832</v>
      </c>
      <c r="D3" s="15">
        <v>21</v>
      </c>
      <c r="E3" s="15">
        <f>73-36</f>
        <v>37</v>
      </c>
      <c r="F3" s="15">
        <f>57-21</f>
        <v>36</v>
      </c>
      <c r="G3" s="15"/>
      <c r="H3" s="15"/>
      <c r="I3" s="15"/>
      <c r="J3" s="15"/>
    </row>
    <row r="4" spans="1:10">
      <c r="A4" s="17" t="s">
        <v>810</v>
      </c>
      <c r="B4" s="17" t="s">
        <v>496</v>
      </c>
      <c r="C4" s="17" t="s">
        <v>832</v>
      </c>
      <c r="D4" s="17">
        <f>SUM(D2:D3)</f>
        <v>50</v>
      </c>
      <c r="E4" s="17">
        <f t="shared" ref="E4:F4" si="0">SUM(E2:E3)</f>
        <v>62</v>
      </c>
      <c r="F4" s="17">
        <f t="shared" si="0"/>
        <v>79</v>
      </c>
      <c r="G4" s="17">
        <f>D4/J4*100</f>
        <v>26.178010471204189</v>
      </c>
      <c r="H4" s="17">
        <f>E4/J4*100</f>
        <v>32.460732984293195</v>
      </c>
      <c r="I4" s="17">
        <f>F4/J4*100</f>
        <v>41.361256544502616</v>
      </c>
      <c r="J4" s="17">
        <f>SUM(D4:F4)</f>
        <v>191</v>
      </c>
    </row>
    <row r="5" spans="1:10">
      <c r="A5" s="15" t="s">
        <v>811</v>
      </c>
      <c r="B5" s="15" t="s">
        <v>496</v>
      </c>
      <c r="C5" s="15" t="s">
        <v>832</v>
      </c>
      <c r="D5" s="15">
        <v>16</v>
      </c>
      <c r="E5" s="15">
        <f>76-28</f>
        <v>48</v>
      </c>
      <c r="F5" s="15">
        <f>44-16</f>
        <v>28</v>
      </c>
      <c r="G5" s="15"/>
      <c r="H5" s="15"/>
      <c r="I5" s="15"/>
      <c r="J5" s="15"/>
    </row>
    <row r="6" spans="1:10">
      <c r="A6" s="15" t="s">
        <v>812</v>
      </c>
      <c r="B6" s="15" t="s">
        <v>496</v>
      </c>
      <c r="C6" s="15" t="s">
        <v>832</v>
      </c>
      <c r="D6" s="15">
        <v>6</v>
      </c>
      <c r="E6" s="15">
        <v>45</v>
      </c>
      <c r="F6" s="15">
        <v>20</v>
      </c>
      <c r="G6" s="15"/>
      <c r="H6" s="15"/>
      <c r="I6" s="15"/>
      <c r="J6" s="15"/>
    </row>
    <row r="7" spans="1:10">
      <c r="A7" s="17" t="s">
        <v>813</v>
      </c>
      <c r="B7" s="17" t="s">
        <v>496</v>
      </c>
      <c r="C7" s="17" t="s">
        <v>832</v>
      </c>
      <c r="D7" s="17">
        <f>SUM(D5:D6)</f>
        <v>22</v>
      </c>
      <c r="E7" s="17">
        <f t="shared" ref="E7:F7" si="1">SUM(E5:E6)</f>
        <v>93</v>
      </c>
      <c r="F7" s="17">
        <f t="shared" si="1"/>
        <v>48</v>
      </c>
      <c r="G7" s="17">
        <f>D7/J7*100</f>
        <v>13.496932515337424</v>
      </c>
      <c r="H7" s="17">
        <f>E7/J7*100</f>
        <v>57.055214723926383</v>
      </c>
      <c r="I7" s="17">
        <f>F7/J7*100</f>
        <v>29.447852760736197</v>
      </c>
      <c r="J7" s="17">
        <f>SUM(D7:F7)</f>
        <v>163</v>
      </c>
    </row>
    <row r="8" spans="1:10">
      <c r="A8" s="15" t="s">
        <v>814</v>
      </c>
      <c r="B8" s="15" t="s">
        <v>496</v>
      </c>
      <c r="C8" s="15" t="s">
        <v>832</v>
      </c>
      <c r="D8" s="15">
        <v>15</v>
      </c>
      <c r="E8" s="15">
        <f>67-28</f>
        <v>39</v>
      </c>
      <c r="F8" s="15">
        <f>43-15</f>
        <v>28</v>
      </c>
      <c r="G8" s="15"/>
      <c r="H8" s="15"/>
      <c r="I8" s="15"/>
      <c r="J8" s="15"/>
    </row>
    <row r="9" spans="1:10">
      <c r="A9" s="15" t="s">
        <v>815</v>
      </c>
      <c r="B9" s="15" t="s">
        <v>496</v>
      </c>
      <c r="C9" s="15" t="s">
        <v>832</v>
      </c>
      <c r="D9" s="15">
        <v>7</v>
      </c>
      <c r="E9" s="15">
        <f>77-43</f>
        <v>34</v>
      </c>
      <c r="F9" s="15">
        <v>43</v>
      </c>
      <c r="G9" s="15"/>
      <c r="H9" s="15"/>
      <c r="I9" s="15"/>
      <c r="J9" s="15"/>
    </row>
    <row r="10" spans="1:10">
      <c r="A10" s="17" t="s">
        <v>816</v>
      </c>
      <c r="B10" s="17" t="s">
        <v>496</v>
      </c>
      <c r="C10" s="17" t="s">
        <v>832</v>
      </c>
      <c r="D10" s="17">
        <f>SUM(D8:D9)</f>
        <v>22</v>
      </c>
      <c r="E10" s="17">
        <f t="shared" ref="E10:F10" si="2">SUM(E8:E9)</f>
        <v>73</v>
      </c>
      <c r="F10" s="17">
        <f t="shared" si="2"/>
        <v>71</v>
      </c>
      <c r="G10" s="17">
        <f>D10/J10*100</f>
        <v>13.253012048192772</v>
      </c>
      <c r="H10" s="17">
        <f>E10/J10*100</f>
        <v>43.975903614457827</v>
      </c>
      <c r="I10" s="17">
        <f>F10/J10*100</f>
        <v>42.771084337349393</v>
      </c>
      <c r="J10" s="17">
        <f>SUM(D10:F10)</f>
        <v>166</v>
      </c>
    </row>
    <row r="11" spans="1:10">
      <c r="A11" s="15" t="s">
        <v>817</v>
      </c>
      <c r="B11" s="15" t="s">
        <v>496</v>
      </c>
      <c r="C11" s="15" t="s">
        <v>832</v>
      </c>
      <c r="D11" s="15">
        <v>4</v>
      </c>
      <c r="E11" s="15">
        <f>65-23</f>
        <v>42</v>
      </c>
      <c r="F11" s="15">
        <v>23</v>
      </c>
      <c r="G11" s="15"/>
      <c r="H11" s="15"/>
      <c r="I11" s="15"/>
      <c r="J11" s="15"/>
    </row>
    <row r="12" spans="1:10">
      <c r="A12" s="15" t="s">
        <v>818</v>
      </c>
      <c r="B12" s="15" t="s">
        <v>496</v>
      </c>
      <c r="C12" s="15" t="s">
        <v>832</v>
      </c>
      <c r="D12" s="15">
        <v>7</v>
      </c>
      <c r="E12" s="15">
        <f>71-31</f>
        <v>40</v>
      </c>
      <c r="F12" s="15">
        <f>38-7</f>
        <v>31</v>
      </c>
      <c r="G12" s="15"/>
      <c r="H12" s="15"/>
      <c r="I12" s="15"/>
      <c r="J12" s="15"/>
    </row>
    <row r="13" spans="1:10">
      <c r="A13" s="17" t="s">
        <v>819</v>
      </c>
      <c r="B13" s="17" t="s">
        <v>496</v>
      </c>
      <c r="C13" s="17" t="s">
        <v>832</v>
      </c>
      <c r="D13" s="17">
        <f>SUM(D11:D12)</f>
        <v>11</v>
      </c>
      <c r="E13" s="17">
        <f t="shared" ref="E13:F13" si="3">SUM(E11:E12)</f>
        <v>82</v>
      </c>
      <c r="F13" s="17">
        <f t="shared" si="3"/>
        <v>54</v>
      </c>
      <c r="G13" s="17">
        <f>D13/J13*100</f>
        <v>7.4829931972789119</v>
      </c>
      <c r="H13" s="17">
        <f>E13/J13*100</f>
        <v>55.782312925170061</v>
      </c>
      <c r="I13" s="17">
        <f>F13/J13*100</f>
        <v>36.734693877551024</v>
      </c>
      <c r="J13" s="17">
        <f>SUM(D13:F13)</f>
        <v>147</v>
      </c>
    </row>
    <row r="14" spans="1:10">
      <c r="A14" s="15" t="s">
        <v>820</v>
      </c>
      <c r="B14" s="15" t="s">
        <v>496</v>
      </c>
      <c r="C14" s="15" t="s">
        <v>832</v>
      </c>
      <c r="D14" s="15">
        <v>18</v>
      </c>
      <c r="E14" s="15">
        <f>95-42</f>
        <v>53</v>
      </c>
      <c r="F14" s="15">
        <f>60-18</f>
        <v>42</v>
      </c>
      <c r="G14" s="15"/>
      <c r="H14" s="15"/>
      <c r="I14" s="15"/>
      <c r="J14" s="15"/>
    </row>
    <row r="15" spans="1:10">
      <c r="A15" s="15" t="s">
        <v>821</v>
      </c>
      <c r="B15" s="15" t="s">
        <v>496</v>
      </c>
      <c r="C15" s="15" t="s">
        <v>832</v>
      </c>
      <c r="D15" s="15">
        <v>17</v>
      </c>
      <c r="E15" s="15">
        <f>69-31</f>
        <v>38</v>
      </c>
      <c r="F15" s="15">
        <f>48-17</f>
        <v>31</v>
      </c>
      <c r="G15" s="15"/>
      <c r="H15" s="15"/>
      <c r="I15" s="15"/>
      <c r="J15" s="15"/>
    </row>
    <row r="16" spans="1:10">
      <c r="A16" s="17" t="s">
        <v>822</v>
      </c>
      <c r="B16" s="17" t="s">
        <v>496</v>
      </c>
      <c r="C16" s="17" t="s">
        <v>832</v>
      </c>
      <c r="D16" s="17">
        <f>SUM(D14:D15)</f>
        <v>35</v>
      </c>
      <c r="E16" s="17">
        <f t="shared" ref="E16:F16" si="4">SUM(E14:E15)</f>
        <v>91</v>
      </c>
      <c r="F16" s="17">
        <f t="shared" si="4"/>
        <v>73</v>
      </c>
      <c r="G16" s="17">
        <f>D16/J16*100</f>
        <v>17.587939698492463</v>
      </c>
      <c r="H16" s="17">
        <f>E16/J16*100</f>
        <v>45.7286432160804</v>
      </c>
      <c r="I16" s="17">
        <f>F16/J16*100</f>
        <v>36.683417085427131</v>
      </c>
      <c r="J16" s="17">
        <f>SUM(D16:F16)</f>
        <v>199</v>
      </c>
    </row>
    <row r="17" spans="1:10">
      <c r="A17" s="15" t="s">
        <v>823</v>
      </c>
      <c r="B17" s="15" t="s">
        <v>496</v>
      </c>
      <c r="C17" s="15" t="s">
        <v>832</v>
      </c>
      <c r="D17" s="15">
        <v>1</v>
      </c>
      <c r="E17" s="15">
        <f>51-17</f>
        <v>34</v>
      </c>
      <c r="F17" s="15">
        <v>17</v>
      </c>
      <c r="G17" s="15"/>
      <c r="H17" s="15"/>
      <c r="I17" s="15"/>
      <c r="J17" s="15"/>
    </row>
    <row r="18" spans="1:10">
      <c r="A18" s="15" t="s">
        <v>824</v>
      </c>
      <c r="B18" s="15" t="s">
        <v>496</v>
      </c>
      <c r="C18" s="15" t="s">
        <v>832</v>
      </c>
      <c r="D18" s="15">
        <v>6</v>
      </c>
      <c r="E18" s="15">
        <f>69-18</f>
        <v>51</v>
      </c>
      <c r="F18" s="15">
        <f>24-6</f>
        <v>18</v>
      </c>
      <c r="G18" s="15"/>
      <c r="H18" s="15"/>
      <c r="I18" s="15"/>
      <c r="J18" s="15"/>
    </row>
    <row r="19" spans="1:10">
      <c r="A19" s="17" t="s">
        <v>825</v>
      </c>
      <c r="B19" s="17" t="s">
        <v>496</v>
      </c>
      <c r="C19" s="17" t="s">
        <v>832</v>
      </c>
      <c r="D19" s="17">
        <f>SUM(D17:D18)</f>
        <v>7</v>
      </c>
      <c r="E19" s="17">
        <f t="shared" ref="E19:F19" si="5">SUM(E17:E18)</f>
        <v>85</v>
      </c>
      <c r="F19" s="17">
        <f t="shared" si="5"/>
        <v>35</v>
      </c>
      <c r="G19" s="17">
        <f>D19/J19*100</f>
        <v>5.5118110236220472</v>
      </c>
      <c r="H19" s="17">
        <f>E19/J19*100</f>
        <v>66.929133858267718</v>
      </c>
      <c r="I19" s="17">
        <f>F19/J19*100</f>
        <v>27.559055118110237</v>
      </c>
      <c r="J19" s="17">
        <f>SUM(D19:F19)</f>
        <v>127</v>
      </c>
    </row>
    <row r="20" spans="1:10">
      <c r="A20" s="15" t="s">
        <v>826</v>
      </c>
      <c r="B20" s="15" t="s">
        <v>496</v>
      </c>
      <c r="C20" s="15" t="s">
        <v>832</v>
      </c>
      <c r="D20" s="15">
        <v>11</v>
      </c>
      <c r="E20" s="15">
        <f>61-33</f>
        <v>28</v>
      </c>
      <c r="F20" s="15">
        <v>33</v>
      </c>
      <c r="G20" s="15"/>
      <c r="H20" s="15"/>
      <c r="I20" s="15"/>
      <c r="J20" s="15"/>
    </row>
    <row r="21" spans="1:10">
      <c r="A21" s="15" t="s">
        <v>827</v>
      </c>
      <c r="B21" s="15" t="s">
        <v>496</v>
      </c>
      <c r="C21" s="15" t="s">
        <v>832</v>
      </c>
      <c r="D21" s="15">
        <v>7</v>
      </c>
      <c r="E21" s="15">
        <f>71-28</f>
        <v>43</v>
      </c>
      <c r="F21" s="15">
        <f>35-7</f>
        <v>28</v>
      </c>
      <c r="G21" s="15"/>
      <c r="H21" s="15"/>
      <c r="I21" s="15"/>
      <c r="J21" s="15"/>
    </row>
    <row r="22" spans="1:10">
      <c r="A22" s="17" t="s">
        <v>828</v>
      </c>
      <c r="B22" s="17" t="s">
        <v>496</v>
      </c>
      <c r="C22" s="17" t="s">
        <v>832</v>
      </c>
      <c r="D22" s="17">
        <f>SUM(D20:D21)</f>
        <v>18</v>
      </c>
      <c r="E22" s="17">
        <f t="shared" ref="E22:F22" si="6">SUM(E20:E21)</f>
        <v>71</v>
      </c>
      <c r="F22" s="17">
        <f t="shared" si="6"/>
        <v>61</v>
      </c>
      <c r="G22" s="17">
        <f>D22/J22*100</f>
        <v>12</v>
      </c>
      <c r="H22" s="17">
        <f>E22/J22*100</f>
        <v>47.333333333333336</v>
      </c>
      <c r="I22" s="17">
        <f>F22/J22*100</f>
        <v>40.666666666666664</v>
      </c>
      <c r="J22" s="17">
        <f>SUM(D22:F22)</f>
        <v>150</v>
      </c>
    </row>
    <row r="23" spans="1:10">
      <c r="A23" s="15" t="s">
        <v>829</v>
      </c>
      <c r="B23" s="15" t="s">
        <v>496</v>
      </c>
      <c r="C23" s="15" t="s">
        <v>832</v>
      </c>
      <c r="D23" s="15">
        <v>5</v>
      </c>
      <c r="E23" s="15">
        <f>70-18</f>
        <v>52</v>
      </c>
      <c r="F23" s="15">
        <f>23-5</f>
        <v>18</v>
      </c>
      <c r="G23" s="15"/>
      <c r="H23" s="15"/>
      <c r="I23" s="15"/>
      <c r="J23" s="15"/>
    </row>
    <row r="24" spans="1:10">
      <c r="A24" s="15" t="s">
        <v>830</v>
      </c>
      <c r="B24" s="15" t="s">
        <v>496</v>
      </c>
      <c r="C24" s="15" t="s">
        <v>832</v>
      </c>
      <c r="D24" s="15">
        <v>33</v>
      </c>
      <c r="E24" s="15">
        <f>149-61</f>
        <v>88</v>
      </c>
      <c r="F24" s="15">
        <f>94-33</f>
        <v>61</v>
      </c>
      <c r="G24" s="15"/>
      <c r="H24" s="15"/>
      <c r="I24" s="15"/>
      <c r="J24" s="15"/>
    </row>
    <row r="25" spans="1:10">
      <c r="A25" s="17" t="s">
        <v>831</v>
      </c>
      <c r="B25" s="17" t="s">
        <v>496</v>
      </c>
      <c r="C25" s="17" t="s">
        <v>832</v>
      </c>
      <c r="D25" s="17">
        <f>SUM(D23:D24)</f>
        <v>38</v>
      </c>
      <c r="E25" s="17">
        <f t="shared" ref="E25:F25" si="7">SUM(E23:E24)</f>
        <v>140</v>
      </c>
      <c r="F25" s="17">
        <f t="shared" si="7"/>
        <v>79</v>
      </c>
      <c r="G25" s="17">
        <f>D25/J25*100</f>
        <v>14.785992217898833</v>
      </c>
      <c r="H25" s="17">
        <f>E25/J25*100</f>
        <v>54.474708171206224</v>
      </c>
      <c r="I25" s="17">
        <f>F25/J25*100</f>
        <v>30.739299610894943</v>
      </c>
      <c r="J25" s="17">
        <f>SUM(D25:F25)</f>
        <v>257</v>
      </c>
    </row>
    <row r="26" spans="1:10">
      <c r="A26" s="16" t="s">
        <v>326</v>
      </c>
      <c r="B26" s="18"/>
      <c r="C26" s="18"/>
      <c r="D26" s="18"/>
      <c r="E26" s="18"/>
      <c r="F26" s="13" t="s">
        <v>22</v>
      </c>
      <c r="G26" s="29">
        <f>AVERAGE(G25,G22,G19,G16,G13,G10,G7,G4)</f>
        <v>13.78708639650333</v>
      </c>
      <c r="H26" s="29">
        <f t="shared" ref="H26:I26" si="8">AVERAGE(H25,H22,H19,H16,H13,H10,H7,H4)</f>
        <v>50.467497853341889</v>
      </c>
      <c r="I26" s="29">
        <f t="shared" si="8"/>
        <v>35.74541575015477</v>
      </c>
      <c r="J26" s="56" t="s">
        <v>492</v>
      </c>
    </row>
    <row r="27" spans="1:10">
      <c r="A27" s="18"/>
      <c r="B27" s="18"/>
      <c r="C27" s="18"/>
      <c r="D27" s="18"/>
      <c r="E27" s="18"/>
      <c r="F27" s="32" t="s">
        <v>570</v>
      </c>
      <c r="G27" s="29">
        <f>STDEV(G25,G22,G19,G16,G13,G10,G7,G4)</f>
        <v>6.3331799067928154</v>
      </c>
      <c r="H27" s="29">
        <f t="shared" ref="H27:I27" si="9">STDEV(H25,H22,H19,H16,H13,H10,H7,H4)</f>
        <v>10.401597230563631</v>
      </c>
      <c r="I27" s="29">
        <f t="shared" si="9"/>
        <v>5.8396662579476404</v>
      </c>
      <c r="J27" s="57">
        <f>SUM(J25,J22,J19,J16,J13,J10,J7,J4)</f>
        <v>1400</v>
      </c>
    </row>
    <row r="28" spans="1:10">
      <c r="A28" s="15" t="s">
        <v>833</v>
      </c>
      <c r="B28" s="15" t="s">
        <v>738</v>
      </c>
      <c r="C28" s="15" t="s">
        <v>832</v>
      </c>
      <c r="D28" s="15">
        <v>17</v>
      </c>
      <c r="E28" s="15">
        <f>120-46</f>
        <v>74</v>
      </c>
      <c r="F28" s="15">
        <f>63-17</f>
        <v>46</v>
      </c>
      <c r="G28" s="15"/>
      <c r="H28" s="15"/>
      <c r="I28" s="15"/>
      <c r="J28" s="15"/>
    </row>
    <row r="29" spans="1:10">
      <c r="A29" s="15" t="s">
        <v>834</v>
      </c>
      <c r="B29" s="15" t="s">
        <v>738</v>
      </c>
      <c r="C29" s="15" t="s">
        <v>832</v>
      </c>
      <c r="D29" s="15">
        <v>9</v>
      </c>
      <c r="E29" s="15">
        <f>62-37</f>
        <v>25</v>
      </c>
      <c r="F29" s="15">
        <f>46-9</f>
        <v>37</v>
      </c>
      <c r="G29" s="15"/>
      <c r="H29" s="15"/>
      <c r="I29" s="15"/>
      <c r="J29" s="15"/>
    </row>
    <row r="30" spans="1:10">
      <c r="A30" s="17" t="s">
        <v>835</v>
      </c>
      <c r="B30" s="17" t="s">
        <v>738</v>
      </c>
      <c r="C30" s="17" t="s">
        <v>832</v>
      </c>
      <c r="D30" s="17">
        <f>SUM(D28:D29)</f>
        <v>26</v>
      </c>
      <c r="E30" s="17">
        <f t="shared" ref="E30:F30" si="10">SUM(E28:E29)</f>
        <v>99</v>
      </c>
      <c r="F30" s="17">
        <f t="shared" si="10"/>
        <v>83</v>
      </c>
      <c r="G30" s="17">
        <f>D30/J30*100</f>
        <v>12.5</v>
      </c>
      <c r="H30" s="17">
        <f>E30/J30*100</f>
        <v>47.596153846153847</v>
      </c>
      <c r="I30" s="17">
        <f>F30/J30*100</f>
        <v>39.903846153846153</v>
      </c>
      <c r="J30" s="17">
        <f>SUM(D30:F30)</f>
        <v>208</v>
      </c>
    </row>
    <row r="31" spans="1:10">
      <c r="A31" s="15" t="s">
        <v>836</v>
      </c>
      <c r="B31" s="15" t="s">
        <v>738</v>
      </c>
      <c r="C31" s="15" t="s">
        <v>832</v>
      </c>
      <c r="D31" s="15">
        <v>9</v>
      </c>
      <c r="E31" s="15">
        <v>50</v>
      </c>
      <c r="F31" s="15">
        <f>35-9</f>
        <v>26</v>
      </c>
      <c r="G31" s="15"/>
      <c r="H31" s="15"/>
      <c r="I31" s="15"/>
      <c r="J31" s="15"/>
    </row>
    <row r="32" spans="1:10">
      <c r="A32" s="15" t="s">
        <v>837</v>
      </c>
      <c r="B32" s="15" t="s">
        <v>738</v>
      </c>
      <c r="C32" s="15" t="s">
        <v>832</v>
      </c>
      <c r="D32" s="15">
        <v>23</v>
      </c>
      <c r="E32" s="15">
        <f>89-39</f>
        <v>50</v>
      </c>
      <c r="F32" s="15">
        <f>62-23</f>
        <v>39</v>
      </c>
      <c r="G32" s="15"/>
      <c r="H32" s="15"/>
      <c r="I32" s="15"/>
      <c r="J32" s="15"/>
    </row>
    <row r="33" spans="1:10">
      <c r="A33" s="17" t="s">
        <v>838</v>
      </c>
      <c r="B33" s="17" t="s">
        <v>738</v>
      </c>
      <c r="C33" s="17" t="s">
        <v>832</v>
      </c>
      <c r="D33" s="17">
        <f>SUM(D31:D32)</f>
        <v>32</v>
      </c>
      <c r="E33" s="17">
        <f t="shared" ref="E33:F33" si="11">SUM(E31:E32)</f>
        <v>100</v>
      </c>
      <c r="F33" s="17">
        <f t="shared" si="11"/>
        <v>65</v>
      </c>
      <c r="G33" s="17">
        <f>D33/J33*100</f>
        <v>16.243654822335024</v>
      </c>
      <c r="H33" s="17">
        <f>E33/J33*100</f>
        <v>50.761421319796952</v>
      </c>
      <c r="I33" s="17">
        <f>F33/J33*100</f>
        <v>32.994923857868017</v>
      </c>
      <c r="J33" s="17">
        <f>SUM(D33:F33)</f>
        <v>197</v>
      </c>
    </row>
    <row r="34" spans="1:10">
      <c r="A34" s="15" t="s">
        <v>839</v>
      </c>
      <c r="B34" s="15" t="s">
        <v>738</v>
      </c>
      <c r="C34" s="15" t="s">
        <v>832</v>
      </c>
      <c r="D34" s="15">
        <v>20</v>
      </c>
      <c r="E34" s="15">
        <f>35-8</f>
        <v>27</v>
      </c>
      <c r="F34" s="15">
        <v>8</v>
      </c>
      <c r="G34" s="15"/>
      <c r="H34" s="15"/>
      <c r="I34" s="15"/>
      <c r="J34" s="15"/>
    </row>
    <row r="35" spans="1:10">
      <c r="A35" s="15" t="s">
        <v>840</v>
      </c>
      <c r="B35" s="15" t="s">
        <v>738</v>
      </c>
      <c r="C35" s="15" t="s">
        <v>832</v>
      </c>
      <c r="D35" s="15">
        <v>33</v>
      </c>
      <c r="E35" s="15">
        <f>59-21</f>
        <v>38</v>
      </c>
      <c r="F35" s="15">
        <f>54-33</f>
        <v>21</v>
      </c>
      <c r="G35" s="15"/>
      <c r="H35" s="15"/>
      <c r="I35" s="15"/>
      <c r="J35" s="15"/>
    </row>
    <row r="36" spans="1:10">
      <c r="A36" s="17" t="s">
        <v>841</v>
      </c>
      <c r="B36" s="17" t="s">
        <v>738</v>
      </c>
      <c r="C36" s="17" t="s">
        <v>832</v>
      </c>
      <c r="D36" s="17">
        <f>SUM(D34:D35)</f>
        <v>53</v>
      </c>
      <c r="E36" s="17">
        <f t="shared" ref="E36:F36" si="12">SUM(E34:E35)</f>
        <v>65</v>
      </c>
      <c r="F36" s="17">
        <f t="shared" si="12"/>
        <v>29</v>
      </c>
      <c r="G36" s="17">
        <f>D36/J36*100</f>
        <v>36.054421768707485</v>
      </c>
      <c r="H36" s="17">
        <f>E36/J36*100</f>
        <v>44.217687074829932</v>
      </c>
      <c r="I36" s="17">
        <f>F36/J36*100</f>
        <v>19.727891156462583</v>
      </c>
      <c r="J36" s="17">
        <f>SUM(D36:F36)</f>
        <v>147</v>
      </c>
    </row>
    <row r="37" spans="1:10">
      <c r="A37" s="15" t="s">
        <v>842</v>
      </c>
      <c r="B37" s="15" t="s">
        <v>738</v>
      </c>
      <c r="C37" s="15" t="s">
        <v>832</v>
      </c>
      <c r="D37" s="15">
        <v>21</v>
      </c>
      <c r="E37" s="15">
        <f>46-13</f>
        <v>33</v>
      </c>
      <c r="F37" s="15">
        <f>34-21</f>
        <v>13</v>
      </c>
      <c r="G37" s="15"/>
      <c r="H37" s="15"/>
      <c r="I37" s="15"/>
      <c r="J37" s="15"/>
    </row>
    <row r="38" spans="1:10">
      <c r="A38" s="15" t="s">
        <v>843</v>
      </c>
      <c r="B38" s="15" t="s">
        <v>738</v>
      </c>
      <c r="C38" s="15" t="s">
        <v>832</v>
      </c>
      <c r="D38" s="15">
        <v>20</v>
      </c>
      <c r="E38" s="15">
        <f>30-8</f>
        <v>22</v>
      </c>
      <c r="F38" s="15">
        <v>8</v>
      </c>
      <c r="G38" s="15"/>
      <c r="H38" s="15"/>
      <c r="I38" s="15"/>
      <c r="J38" s="15"/>
    </row>
    <row r="39" spans="1:10">
      <c r="A39" s="17" t="s">
        <v>844</v>
      </c>
      <c r="B39" s="17" t="s">
        <v>738</v>
      </c>
      <c r="C39" s="17" t="s">
        <v>832</v>
      </c>
      <c r="D39" s="17">
        <f>SUM(D37:D38)</f>
        <v>41</v>
      </c>
      <c r="E39" s="17">
        <f t="shared" ref="E39:F39" si="13">SUM(E37:E38)</f>
        <v>55</v>
      </c>
      <c r="F39" s="17">
        <f t="shared" si="13"/>
        <v>21</v>
      </c>
      <c r="G39" s="17">
        <f>D39/J39*100</f>
        <v>35.042735042735039</v>
      </c>
      <c r="H39" s="17">
        <f>E39/J39*100</f>
        <v>47.008547008547005</v>
      </c>
      <c r="I39" s="17">
        <f>F39/J39*100</f>
        <v>17.948717948717949</v>
      </c>
      <c r="J39" s="17">
        <f>SUM(D39:F39)</f>
        <v>117</v>
      </c>
    </row>
    <row r="40" spans="1:10">
      <c r="A40" s="15" t="s">
        <v>845</v>
      </c>
      <c r="B40" s="15" t="s">
        <v>738</v>
      </c>
      <c r="C40" s="15" t="s">
        <v>832</v>
      </c>
      <c r="D40" s="15">
        <v>16</v>
      </c>
      <c r="E40" s="15">
        <v>20</v>
      </c>
      <c r="F40" s="15">
        <v>10</v>
      </c>
      <c r="G40" s="15"/>
      <c r="H40" s="15"/>
      <c r="I40" s="15"/>
      <c r="J40" s="15"/>
    </row>
    <row r="41" spans="1:10">
      <c r="A41" s="15" t="s">
        <v>846</v>
      </c>
      <c r="B41" s="15" t="s">
        <v>738</v>
      </c>
      <c r="C41" s="15" t="s">
        <v>832</v>
      </c>
      <c r="D41" s="15">
        <v>18</v>
      </c>
      <c r="E41" s="15">
        <f>41-11</f>
        <v>30</v>
      </c>
      <c r="F41" s="15">
        <f>29-18</f>
        <v>11</v>
      </c>
      <c r="G41" s="15"/>
      <c r="H41" s="15"/>
      <c r="I41" s="15"/>
      <c r="J41" s="15"/>
    </row>
    <row r="42" spans="1:10">
      <c r="A42" s="17" t="s">
        <v>847</v>
      </c>
      <c r="B42" s="17" t="s">
        <v>738</v>
      </c>
      <c r="C42" s="17" t="s">
        <v>832</v>
      </c>
      <c r="D42" s="17">
        <f>SUM(D40:D41)</f>
        <v>34</v>
      </c>
      <c r="E42" s="17">
        <f t="shared" ref="E42:F42" si="14">SUM(E40:E41)</f>
        <v>50</v>
      </c>
      <c r="F42" s="17">
        <f t="shared" si="14"/>
        <v>21</v>
      </c>
      <c r="G42" s="17">
        <f>D42/J42*100</f>
        <v>32.38095238095238</v>
      </c>
      <c r="H42" s="17">
        <f>E42/J42*100</f>
        <v>47.619047619047613</v>
      </c>
      <c r="I42" s="17">
        <f>F42/J42*100</f>
        <v>20</v>
      </c>
      <c r="J42" s="17">
        <f>SUM(D42:F42)</f>
        <v>105</v>
      </c>
    </row>
    <row r="43" spans="1:10">
      <c r="A43" s="15" t="s">
        <v>848</v>
      </c>
      <c r="B43" s="15" t="s">
        <v>738</v>
      </c>
      <c r="C43" s="15" t="s">
        <v>832</v>
      </c>
      <c r="D43" s="15">
        <v>20</v>
      </c>
      <c r="E43" s="15">
        <f>46-17</f>
        <v>29</v>
      </c>
      <c r="F43" s="15">
        <v>17</v>
      </c>
      <c r="G43" s="15"/>
      <c r="H43" s="15"/>
      <c r="I43" s="15"/>
      <c r="J43" s="15"/>
    </row>
    <row r="44" spans="1:10">
      <c r="A44" s="15" t="s">
        <v>849</v>
      </c>
      <c r="B44" s="15" t="s">
        <v>738</v>
      </c>
      <c r="C44" s="15" t="s">
        <v>832</v>
      </c>
      <c r="D44" s="15">
        <v>21</v>
      </c>
      <c r="E44" s="15">
        <f>33-28</f>
        <v>5</v>
      </c>
      <c r="F44" s="15">
        <f>49-21</f>
        <v>28</v>
      </c>
      <c r="G44" s="15"/>
      <c r="H44" s="15"/>
      <c r="I44" s="15"/>
      <c r="J44" s="15"/>
    </row>
    <row r="45" spans="1:10">
      <c r="A45" s="17" t="s">
        <v>850</v>
      </c>
      <c r="B45" s="17" t="s">
        <v>738</v>
      </c>
      <c r="C45" s="17" t="s">
        <v>832</v>
      </c>
      <c r="D45" s="17">
        <f>SUM(D43:D44)</f>
        <v>41</v>
      </c>
      <c r="E45" s="17">
        <f t="shared" ref="E45:F45" si="15">SUM(E43:E44)</f>
        <v>34</v>
      </c>
      <c r="F45" s="17">
        <f t="shared" si="15"/>
        <v>45</v>
      </c>
      <c r="G45" s="17">
        <f>D45/J45*100</f>
        <v>34.166666666666664</v>
      </c>
      <c r="H45" s="17">
        <f>E45/J45*100</f>
        <v>28.333333333333332</v>
      </c>
      <c r="I45" s="17">
        <f>F45/J45*100</f>
        <v>37.5</v>
      </c>
      <c r="J45" s="17">
        <f>SUM(D45:F45)</f>
        <v>120</v>
      </c>
    </row>
    <row r="46" spans="1:10">
      <c r="A46" s="15" t="s">
        <v>851</v>
      </c>
      <c r="B46" s="15" t="s">
        <v>738</v>
      </c>
      <c r="C46" s="15" t="s">
        <v>832</v>
      </c>
      <c r="D46" s="15">
        <v>27</v>
      </c>
      <c r="E46" s="15">
        <f>42-19</f>
        <v>23</v>
      </c>
      <c r="F46" s="15">
        <f>46-27</f>
        <v>19</v>
      </c>
      <c r="G46" s="15"/>
      <c r="H46" s="15"/>
      <c r="I46" s="15"/>
      <c r="J46" s="15"/>
    </row>
    <row r="47" spans="1:10">
      <c r="A47" s="15" t="s">
        <v>852</v>
      </c>
      <c r="B47" s="15" t="s">
        <v>738</v>
      </c>
      <c r="C47" s="15" t="s">
        <v>832</v>
      </c>
      <c r="D47" s="15">
        <v>15</v>
      </c>
      <c r="E47" s="15">
        <f>63-27</f>
        <v>36</v>
      </c>
      <c r="F47" s="15">
        <f>42-15</f>
        <v>27</v>
      </c>
      <c r="G47" s="15"/>
      <c r="H47" s="15"/>
      <c r="I47" s="15"/>
      <c r="J47" s="15"/>
    </row>
    <row r="48" spans="1:10">
      <c r="A48" s="17" t="s">
        <v>853</v>
      </c>
      <c r="B48" s="17" t="s">
        <v>738</v>
      </c>
      <c r="C48" s="17" t="s">
        <v>832</v>
      </c>
      <c r="D48" s="17">
        <f>SUM(D46:D47)</f>
        <v>42</v>
      </c>
      <c r="E48" s="17">
        <f t="shared" ref="E48:F48" si="16">SUM(E46:E47)</f>
        <v>59</v>
      </c>
      <c r="F48" s="17">
        <f t="shared" si="16"/>
        <v>46</v>
      </c>
      <c r="G48" s="17">
        <f>D48/J48*100</f>
        <v>28.571428571428569</v>
      </c>
      <c r="H48" s="17">
        <f>E48/J48*100</f>
        <v>40.136054421768705</v>
      </c>
      <c r="I48" s="17">
        <f>F48/J48*100</f>
        <v>31.292517006802722</v>
      </c>
      <c r="J48" s="17">
        <f>SUM(D48:F48)</f>
        <v>147</v>
      </c>
    </row>
    <row r="49" spans="1:10">
      <c r="A49" s="15" t="s">
        <v>854</v>
      </c>
      <c r="B49" s="15" t="s">
        <v>738</v>
      </c>
      <c r="C49" s="15" t="s">
        <v>832</v>
      </c>
      <c r="D49" s="15">
        <v>14</v>
      </c>
      <c r="E49" s="15">
        <f>75-15</f>
        <v>60</v>
      </c>
      <c r="F49" s="15">
        <v>15</v>
      </c>
      <c r="G49" s="15"/>
      <c r="H49" s="15"/>
      <c r="I49" s="15"/>
      <c r="J49" s="15"/>
    </row>
    <row r="50" spans="1:10">
      <c r="A50" s="15" t="s">
        <v>855</v>
      </c>
      <c r="B50" s="15" t="s">
        <v>738</v>
      </c>
      <c r="C50" s="15" t="s">
        <v>832</v>
      </c>
      <c r="D50" s="15">
        <v>5</v>
      </c>
      <c r="E50" s="15">
        <f>74-35</f>
        <v>39</v>
      </c>
      <c r="F50" s="15">
        <v>35</v>
      </c>
      <c r="G50" s="15"/>
      <c r="H50" s="15"/>
      <c r="I50" s="15"/>
      <c r="J50" s="15"/>
    </row>
    <row r="51" spans="1:10">
      <c r="A51" s="17" t="s">
        <v>856</v>
      </c>
      <c r="B51" s="17" t="s">
        <v>738</v>
      </c>
      <c r="C51" s="17" t="s">
        <v>832</v>
      </c>
      <c r="D51" s="17">
        <f>SUM(D49:D50)</f>
        <v>19</v>
      </c>
      <c r="E51" s="17">
        <f t="shared" ref="E51:F51" si="17">SUM(E49:E50)</f>
        <v>99</v>
      </c>
      <c r="F51" s="17">
        <f t="shared" si="17"/>
        <v>50</v>
      </c>
      <c r="G51" s="17">
        <f>D51/J51*100</f>
        <v>11.30952380952381</v>
      </c>
      <c r="H51" s="17">
        <f>E51/J51*100</f>
        <v>58.928571428571431</v>
      </c>
      <c r="I51" s="17">
        <f>F51/J51*100</f>
        <v>29.761904761904763</v>
      </c>
      <c r="J51" s="17">
        <f>SUM(D51:F51)</f>
        <v>168</v>
      </c>
    </row>
    <row r="52" spans="1:10">
      <c r="A52" s="15" t="s">
        <v>857</v>
      </c>
      <c r="B52" s="15" t="s">
        <v>738</v>
      </c>
      <c r="C52" s="15" t="s">
        <v>832</v>
      </c>
      <c r="D52" s="15">
        <v>2</v>
      </c>
      <c r="E52" s="15">
        <f>77-17</f>
        <v>60</v>
      </c>
      <c r="F52" s="15">
        <v>17</v>
      </c>
      <c r="G52" s="15"/>
      <c r="H52" s="15"/>
      <c r="I52" s="15"/>
      <c r="J52" s="15"/>
    </row>
    <row r="53" spans="1:10">
      <c r="A53" s="15" t="s">
        <v>858</v>
      </c>
      <c r="B53" s="15" t="s">
        <v>738</v>
      </c>
      <c r="C53" s="15" t="s">
        <v>832</v>
      </c>
      <c r="D53" s="15">
        <v>12</v>
      </c>
      <c r="E53" s="15">
        <f>62-30</f>
        <v>32</v>
      </c>
      <c r="F53" s="15">
        <f>42-12</f>
        <v>30</v>
      </c>
      <c r="G53" s="15"/>
      <c r="H53" s="15"/>
      <c r="I53" s="15"/>
      <c r="J53" s="15"/>
    </row>
    <row r="54" spans="1:10">
      <c r="A54" s="17" t="s">
        <v>859</v>
      </c>
      <c r="B54" s="17" t="s">
        <v>738</v>
      </c>
      <c r="C54" s="17" t="s">
        <v>832</v>
      </c>
      <c r="D54" s="17">
        <f>SUM(D52:D53)</f>
        <v>14</v>
      </c>
      <c r="E54" s="17">
        <f t="shared" ref="E54:F54" si="18">SUM(E52:E53)</f>
        <v>92</v>
      </c>
      <c r="F54" s="17">
        <f t="shared" si="18"/>
        <v>47</v>
      </c>
      <c r="G54" s="17">
        <f>D54/J54*100</f>
        <v>9.1503267973856204</v>
      </c>
      <c r="H54" s="17">
        <f>E54/J54*100</f>
        <v>60.130718954248366</v>
      </c>
      <c r="I54" s="17">
        <f>F54/J54*100</f>
        <v>30.718954248366014</v>
      </c>
      <c r="J54" s="17">
        <f>SUM(D54:F54)</f>
        <v>153</v>
      </c>
    </row>
    <row r="55" spans="1:10">
      <c r="A55" s="16" t="s">
        <v>299</v>
      </c>
      <c r="B55" s="18"/>
      <c r="C55" s="18"/>
      <c r="D55" s="18"/>
      <c r="E55" s="18"/>
      <c r="F55" s="13" t="s">
        <v>22</v>
      </c>
      <c r="G55" s="29">
        <f>AVERAGE(G54,G51,G48,G45,G42,G39,G36,G33,G30)</f>
        <v>23.935523317748292</v>
      </c>
      <c r="H55" s="29">
        <f t="shared" ref="H55:I55" si="19">AVERAGE(H54,H51,H48,H45,H42,H39,H36,H33,H30)</f>
        <v>47.192392778477469</v>
      </c>
      <c r="I55" s="29">
        <f t="shared" si="19"/>
        <v>28.872083903774246</v>
      </c>
      <c r="J55" s="56" t="s">
        <v>492</v>
      </c>
    </row>
    <row r="56" spans="1:10">
      <c r="A56" s="18"/>
      <c r="B56" s="18"/>
      <c r="C56" s="18"/>
      <c r="D56" s="18"/>
      <c r="E56" s="18"/>
      <c r="F56" s="32" t="s">
        <v>570</v>
      </c>
      <c r="G56" s="29">
        <f>STDEV(G54,G51,G48,G45,G42,G39,G36,G33,G30)</f>
        <v>11.378076342280455</v>
      </c>
      <c r="H56" s="29">
        <f t="shared" ref="H56:I56" si="20">STDEV(H54,H51,H48,H45,H42,H39,H36,H33,H30)</f>
        <v>9.5692208608468601</v>
      </c>
      <c r="I56" s="29">
        <f t="shared" si="20"/>
        <v>7.9439425744706984</v>
      </c>
      <c r="J56" s="57">
        <f>SUM(J54,J51,J48,J45,J42,J39,J36,J33,J30)</f>
        <v>1362</v>
      </c>
    </row>
    <row r="57" spans="1:10" s="7" customFormat="1">
      <c r="J57" s="8"/>
    </row>
    <row r="58" spans="1:10" s="7" customFormat="1"/>
    <row r="59" spans="1:10">
      <c r="A59" s="1" t="s">
        <v>170</v>
      </c>
      <c r="B59" s="1" t="s">
        <v>737</v>
      </c>
      <c r="C59" s="1" t="s">
        <v>832</v>
      </c>
      <c r="D59" s="1">
        <v>0</v>
      </c>
      <c r="E59" s="1">
        <f>62-25</f>
        <v>37</v>
      </c>
      <c r="F59" s="1">
        <v>25</v>
      </c>
      <c r="G59" s="1"/>
      <c r="H59" s="1"/>
      <c r="I59" s="1"/>
      <c r="J59" s="1"/>
    </row>
    <row r="60" spans="1:10">
      <c r="A60" s="1" t="s">
        <v>171</v>
      </c>
      <c r="B60" s="1" t="s">
        <v>737</v>
      </c>
      <c r="C60" s="1" t="s">
        <v>832</v>
      </c>
      <c r="D60" s="1">
        <v>0</v>
      </c>
      <c r="E60" s="1">
        <f>50-33</f>
        <v>17</v>
      </c>
      <c r="F60" s="1">
        <v>33</v>
      </c>
      <c r="G60" s="1"/>
      <c r="H60" s="1"/>
      <c r="I60" s="1"/>
      <c r="J60" s="1"/>
    </row>
    <row r="61" spans="1:10">
      <c r="A61" s="4" t="s">
        <v>172</v>
      </c>
      <c r="B61" s="4" t="s">
        <v>737</v>
      </c>
      <c r="C61" s="4" t="s">
        <v>832</v>
      </c>
      <c r="D61" s="4">
        <f>SUM(D59:D60)</f>
        <v>0</v>
      </c>
      <c r="E61" s="4">
        <f t="shared" ref="E61:F61" si="21">SUM(E59:E60)</f>
        <v>54</v>
      </c>
      <c r="F61" s="4">
        <f t="shared" si="21"/>
        <v>58</v>
      </c>
      <c r="G61" s="4">
        <f>D61/SUM(D61:F61)*100</f>
        <v>0</v>
      </c>
      <c r="H61" s="4">
        <f>E61/SUM(D61:F61)*100</f>
        <v>48.214285714285715</v>
      </c>
      <c r="I61" s="4">
        <f>F61/SUM(D61:F61)*100</f>
        <v>51.785714285714292</v>
      </c>
      <c r="J61" s="4">
        <f>SUM(D61:F61)</f>
        <v>112</v>
      </c>
    </row>
    <row r="62" spans="1:10">
      <c r="A62" s="1" t="s">
        <v>173</v>
      </c>
      <c r="B62" s="1" t="s">
        <v>737</v>
      </c>
      <c r="C62" s="1" t="s">
        <v>832</v>
      </c>
      <c r="D62" s="1">
        <v>0</v>
      </c>
      <c r="E62" s="1">
        <f>38-13</f>
        <v>25</v>
      </c>
      <c r="F62" s="1">
        <v>13</v>
      </c>
      <c r="G62" s="1"/>
      <c r="H62" s="1"/>
      <c r="I62" s="1"/>
      <c r="J62" s="1"/>
    </row>
    <row r="63" spans="1:10">
      <c r="A63" s="1" t="s">
        <v>174</v>
      </c>
      <c r="B63" s="1" t="s">
        <v>737</v>
      </c>
      <c r="C63" s="1" t="s">
        <v>832</v>
      </c>
      <c r="D63" s="1">
        <v>0</v>
      </c>
      <c r="E63" s="1">
        <v>3</v>
      </c>
      <c r="F63" s="1">
        <v>31</v>
      </c>
      <c r="G63" s="1"/>
      <c r="H63" s="1"/>
      <c r="I63" s="1"/>
      <c r="J63" s="1"/>
    </row>
    <row r="64" spans="1:10">
      <c r="A64" s="4" t="s">
        <v>175</v>
      </c>
      <c r="B64" s="4" t="s">
        <v>737</v>
      </c>
      <c r="C64" s="4" t="s">
        <v>832</v>
      </c>
      <c r="D64" s="4">
        <f>SUM(D62:D63)</f>
        <v>0</v>
      </c>
      <c r="E64" s="4">
        <f t="shared" ref="E64:F64" si="22">SUM(E62:E63)</f>
        <v>28</v>
      </c>
      <c r="F64" s="4">
        <f t="shared" si="22"/>
        <v>44</v>
      </c>
      <c r="G64" s="4">
        <f>D64/SUM(D64:F64)*100</f>
        <v>0</v>
      </c>
      <c r="H64" s="4">
        <f>E64/SUM(D64:F64)*100</f>
        <v>38.888888888888893</v>
      </c>
      <c r="I64" s="4">
        <f>F64/SUM(D64:F64)*100</f>
        <v>61.111111111111114</v>
      </c>
      <c r="J64" s="4">
        <f>SUM(D64:F64)</f>
        <v>72</v>
      </c>
    </row>
    <row r="65" spans="1:10">
      <c r="A65" s="1" t="s">
        <v>176</v>
      </c>
      <c r="B65" s="1" t="s">
        <v>737</v>
      </c>
      <c r="C65" s="1" t="s">
        <v>832</v>
      </c>
      <c r="D65" s="1">
        <v>0</v>
      </c>
      <c r="E65" s="1">
        <f>49</f>
        <v>49</v>
      </c>
      <c r="F65" s="1">
        <v>10</v>
      </c>
      <c r="G65" s="1"/>
      <c r="H65" s="1"/>
      <c r="I65" s="1"/>
      <c r="J65" s="1"/>
    </row>
    <row r="66" spans="1:10">
      <c r="A66" s="1" t="s">
        <v>177</v>
      </c>
      <c r="B66" s="1" t="s">
        <v>737</v>
      </c>
      <c r="C66" s="1" t="s">
        <v>832</v>
      </c>
      <c r="D66" s="1">
        <v>0</v>
      </c>
      <c r="E66" s="1">
        <f>44-31</f>
        <v>13</v>
      </c>
      <c r="F66" s="1">
        <v>31</v>
      </c>
      <c r="G66" s="1"/>
      <c r="H66" s="1"/>
      <c r="I66" s="1"/>
      <c r="J66" s="1"/>
    </row>
    <row r="67" spans="1:10">
      <c r="A67" s="4" t="s">
        <v>178</v>
      </c>
      <c r="B67" s="4" t="s">
        <v>737</v>
      </c>
      <c r="C67" s="4" t="s">
        <v>832</v>
      </c>
      <c r="D67" s="4">
        <f>SUM(D65:D66)</f>
        <v>0</v>
      </c>
      <c r="E67" s="4">
        <f t="shared" ref="E67:F67" si="23">SUM(E65:E66)</f>
        <v>62</v>
      </c>
      <c r="F67" s="4">
        <f t="shared" si="23"/>
        <v>41</v>
      </c>
      <c r="G67" s="4">
        <f>D67/SUM(D67:F67)*100</f>
        <v>0</v>
      </c>
      <c r="H67" s="4">
        <f>E67/SUM(D67:F67)*100</f>
        <v>60.194174757281552</v>
      </c>
      <c r="I67" s="4">
        <f>F67/SUM(D67:F67)*100</f>
        <v>39.805825242718448</v>
      </c>
      <c r="J67" s="4">
        <f>SUM(D67:F67)</f>
        <v>103</v>
      </c>
    </row>
    <row r="68" spans="1:10">
      <c r="A68" s="1" t="s">
        <v>179</v>
      </c>
      <c r="B68" s="1" t="s">
        <v>737</v>
      </c>
      <c r="C68" s="1" t="s">
        <v>832</v>
      </c>
      <c r="D68" s="1">
        <v>0</v>
      </c>
      <c r="E68" s="1">
        <f>55-25</f>
        <v>30</v>
      </c>
      <c r="F68" s="1">
        <v>25</v>
      </c>
      <c r="G68" s="1"/>
      <c r="H68" s="1"/>
      <c r="I68" s="1"/>
      <c r="J68" s="1"/>
    </row>
    <row r="69" spans="1:10">
      <c r="A69" s="1" t="s">
        <v>180</v>
      </c>
      <c r="B69" s="1" t="s">
        <v>737</v>
      </c>
      <c r="C69" s="1" t="s">
        <v>832</v>
      </c>
      <c r="D69" s="1">
        <v>0</v>
      </c>
      <c r="E69" s="1">
        <v>4</v>
      </c>
      <c r="F69" s="1">
        <v>26</v>
      </c>
      <c r="G69" s="1"/>
      <c r="H69" s="1"/>
      <c r="I69" s="1"/>
      <c r="J69" s="1"/>
    </row>
    <row r="70" spans="1:10">
      <c r="A70" s="4" t="s">
        <v>181</v>
      </c>
      <c r="B70" s="4" t="s">
        <v>737</v>
      </c>
      <c r="C70" s="4" t="s">
        <v>832</v>
      </c>
      <c r="D70" s="4">
        <f>SUM(D68:D69)</f>
        <v>0</v>
      </c>
      <c r="E70" s="4">
        <f t="shared" ref="E70:F70" si="24">SUM(E68:E69)</f>
        <v>34</v>
      </c>
      <c r="F70" s="4">
        <f t="shared" si="24"/>
        <v>51</v>
      </c>
      <c r="G70" s="4">
        <f>D70/SUM(D70:F70)*100</f>
        <v>0</v>
      </c>
      <c r="H70" s="4">
        <f>E70/SUM(D70:F70)*100</f>
        <v>40</v>
      </c>
      <c r="I70" s="4">
        <f>F70/SUM(D70:F70)*100</f>
        <v>60</v>
      </c>
      <c r="J70" s="4">
        <f>SUM(D70:F70)</f>
        <v>85</v>
      </c>
    </row>
    <row r="71" spans="1:10">
      <c r="A71" s="1" t="s">
        <v>182</v>
      </c>
      <c r="B71" s="1" t="s">
        <v>737</v>
      </c>
      <c r="C71" s="1" t="s">
        <v>832</v>
      </c>
      <c r="D71" s="1">
        <v>0</v>
      </c>
      <c r="E71" s="1">
        <f>51-32</f>
        <v>19</v>
      </c>
      <c r="F71" s="1">
        <v>32</v>
      </c>
      <c r="G71" s="1"/>
      <c r="H71" s="1"/>
      <c r="I71" s="1"/>
      <c r="J71" s="1"/>
    </row>
    <row r="72" spans="1:10">
      <c r="A72" s="1" t="s">
        <v>183</v>
      </c>
      <c r="B72" s="1" t="s">
        <v>737</v>
      </c>
      <c r="C72" s="1" t="s">
        <v>832</v>
      </c>
      <c r="D72" s="1">
        <v>0</v>
      </c>
      <c r="E72" s="1">
        <v>11</v>
      </c>
      <c r="F72" s="1">
        <v>20</v>
      </c>
      <c r="G72" s="1"/>
      <c r="H72" s="1"/>
      <c r="I72" s="1"/>
      <c r="J72" s="1"/>
    </row>
    <row r="73" spans="1:10">
      <c r="A73" s="4" t="s">
        <v>184</v>
      </c>
      <c r="B73" s="4" t="s">
        <v>737</v>
      </c>
      <c r="C73" s="4" t="s">
        <v>832</v>
      </c>
      <c r="D73" s="4">
        <f>SUM(D71:D72)</f>
        <v>0</v>
      </c>
      <c r="E73" s="4">
        <f t="shared" ref="E73:F73" si="25">SUM(E71:E72)</f>
        <v>30</v>
      </c>
      <c r="F73" s="4">
        <f t="shared" si="25"/>
        <v>52</v>
      </c>
      <c r="G73" s="4">
        <f>D73/SUM(D73:F73)*100</f>
        <v>0</v>
      </c>
      <c r="H73" s="4">
        <f>E73/SUM(D73:F73)*100</f>
        <v>36.585365853658537</v>
      </c>
      <c r="I73" s="4">
        <f>F73/SUM(D73:F73)*100</f>
        <v>63.414634146341463</v>
      </c>
      <c r="J73" s="4">
        <f>SUM(D73:F73)</f>
        <v>82</v>
      </c>
    </row>
    <row r="74" spans="1:10">
      <c r="A74" s="1" t="s">
        <v>185</v>
      </c>
      <c r="B74" s="1" t="s">
        <v>737</v>
      </c>
      <c r="C74" s="1" t="s">
        <v>832</v>
      </c>
      <c r="D74" s="1">
        <v>0</v>
      </c>
      <c r="E74" s="1">
        <v>60</v>
      </c>
      <c r="F74" s="1">
        <v>0</v>
      </c>
      <c r="G74" s="1"/>
      <c r="H74" s="1"/>
      <c r="I74" s="1"/>
      <c r="J74" s="1"/>
    </row>
    <row r="75" spans="1:10">
      <c r="A75" s="1" t="s">
        <v>186</v>
      </c>
      <c r="B75" s="1" t="s">
        <v>737</v>
      </c>
      <c r="C75" s="1" t="s">
        <v>832</v>
      </c>
      <c r="D75" s="1">
        <v>0</v>
      </c>
      <c r="E75" s="1">
        <f>31-7</f>
        <v>24</v>
      </c>
      <c r="F75" s="1">
        <v>7</v>
      </c>
      <c r="G75" s="1"/>
      <c r="H75" s="1"/>
      <c r="I75" s="1"/>
      <c r="J75" s="1"/>
    </row>
    <row r="76" spans="1:10">
      <c r="A76" s="4" t="s">
        <v>187</v>
      </c>
      <c r="B76" s="4" t="s">
        <v>737</v>
      </c>
      <c r="C76" s="4" t="s">
        <v>832</v>
      </c>
      <c r="D76" s="4">
        <f>SUM(D74:D75)</f>
        <v>0</v>
      </c>
      <c r="E76" s="4">
        <f t="shared" ref="E76:F76" si="26">SUM(E74:E75)</f>
        <v>84</v>
      </c>
      <c r="F76" s="4">
        <f t="shared" si="26"/>
        <v>7</v>
      </c>
      <c r="G76" s="4">
        <f>D76/SUM(D76:F76)*100</f>
        <v>0</v>
      </c>
      <c r="H76" s="4">
        <f>E76/SUM(D76:F76)*100</f>
        <v>92.307692307692307</v>
      </c>
      <c r="I76" s="4">
        <f>F76/SUM(D76:F76)*100</f>
        <v>7.6923076923076925</v>
      </c>
      <c r="J76" s="4">
        <f>SUM(D76:F76)</f>
        <v>91</v>
      </c>
    </row>
    <row r="77" spans="1:10">
      <c r="A77" s="1" t="s">
        <v>188</v>
      </c>
      <c r="B77" s="1" t="s">
        <v>737</v>
      </c>
      <c r="C77" s="1" t="s">
        <v>832</v>
      </c>
      <c r="D77" s="1">
        <v>0</v>
      </c>
      <c r="E77" s="1">
        <f>52-25</f>
        <v>27</v>
      </c>
      <c r="F77" s="1">
        <v>25</v>
      </c>
      <c r="G77" s="1"/>
      <c r="H77" s="1"/>
      <c r="I77" s="1"/>
      <c r="J77" s="1"/>
    </row>
    <row r="78" spans="1:10">
      <c r="A78" s="1" t="s">
        <v>189</v>
      </c>
      <c r="B78" s="1" t="s">
        <v>737</v>
      </c>
      <c r="C78" s="1" t="s">
        <v>832</v>
      </c>
      <c r="D78" s="1">
        <v>0</v>
      </c>
      <c r="E78" s="1">
        <f>33-12</f>
        <v>21</v>
      </c>
      <c r="F78" s="1">
        <v>12</v>
      </c>
      <c r="G78" s="1"/>
      <c r="H78" s="1"/>
      <c r="I78" s="1"/>
      <c r="J78" s="1"/>
    </row>
    <row r="79" spans="1:10">
      <c r="A79" s="4" t="s">
        <v>190</v>
      </c>
      <c r="B79" s="4" t="s">
        <v>737</v>
      </c>
      <c r="C79" s="4" t="s">
        <v>832</v>
      </c>
      <c r="D79" s="4">
        <f>SUM(D77:D78)</f>
        <v>0</v>
      </c>
      <c r="E79" s="4">
        <f t="shared" ref="E79:F79" si="27">SUM(E77:E78)</f>
        <v>48</v>
      </c>
      <c r="F79" s="4">
        <f t="shared" si="27"/>
        <v>37</v>
      </c>
      <c r="G79" s="4">
        <f>D79/SUM(D79:F79)*100</f>
        <v>0</v>
      </c>
      <c r="H79" s="4">
        <f>E79/SUM(D79:F79)*100</f>
        <v>56.470588235294116</v>
      </c>
      <c r="I79" s="4">
        <f>F79/SUM(D79:F79)*100</f>
        <v>43.529411764705884</v>
      </c>
      <c r="J79" s="4">
        <f>SUM(D79:F79)</f>
        <v>85</v>
      </c>
    </row>
    <row r="80" spans="1:10">
      <c r="A80" s="1" t="s">
        <v>191</v>
      </c>
      <c r="B80" s="1" t="s">
        <v>737</v>
      </c>
      <c r="C80" s="1" t="s">
        <v>832</v>
      </c>
      <c r="D80" s="1">
        <v>0</v>
      </c>
      <c r="E80" s="1">
        <f>92-4</f>
        <v>88</v>
      </c>
      <c r="F80" s="1">
        <v>4</v>
      </c>
      <c r="G80" s="1"/>
      <c r="H80" s="1"/>
      <c r="I80" s="1"/>
      <c r="J80" s="1"/>
    </row>
    <row r="81" spans="1:10">
      <c r="A81" s="1" t="s">
        <v>192</v>
      </c>
      <c r="B81" s="1" t="s">
        <v>737</v>
      </c>
      <c r="C81" s="1" t="s">
        <v>832</v>
      </c>
      <c r="D81" s="1">
        <v>0</v>
      </c>
      <c r="E81" s="1">
        <f>47-26</f>
        <v>21</v>
      </c>
      <c r="F81" s="1">
        <v>29</v>
      </c>
      <c r="G81" s="1"/>
      <c r="H81" s="1"/>
      <c r="I81" s="1"/>
      <c r="J81" s="1"/>
    </row>
    <row r="82" spans="1:10">
      <c r="A82" s="4" t="s">
        <v>193</v>
      </c>
      <c r="B82" s="4" t="s">
        <v>737</v>
      </c>
      <c r="C82" s="4" t="s">
        <v>832</v>
      </c>
      <c r="D82" s="4">
        <f>SUM(D80:D81)</f>
        <v>0</v>
      </c>
      <c r="E82" s="4">
        <f t="shared" ref="E82:F82" si="28">SUM(E80:E81)</f>
        <v>109</v>
      </c>
      <c r="F82" s="4">
        <f t="shared" si="28"/>
        <v>33</v>
      </c>
      <c r="G82" s="4">
        <f>D82/SUM(D82:F82)*100</f>
        <v>0</v>
      </c>
      <c r="H82" s="4">
        <f>E82/SUM(D82:F82)*100</f>
        <v>76.760563380281681</v>
      </c>
      <c r="I82" s="4">
        <f>F82/SUM(D82:F82)*100</f>
        <v>23.239436619718308</v>
      </c>
      <c r="J82" s="4">
        <f>SUM(D82:F82)</f>
        <v>142</v>
      </c>
    </row>
    <row r="83" spans="1:10">
      <c r="A83" s="1" t="s">
        <v>194</v>
      </c>
      <c r="B83" s="1" t="s">
        <v>737</v>
      </c>
      <c r="C83" s="1" t="s">
        <v>832</v>
      </c>
      <c r="D83" s="1">
        <v>0</v>
      </c>
      <c r="E83" s="1">
        <v>46</v>
      </c>
      <c r="F83" s="1">
        <v>2</v>
      </c>
      <c r="G83" s="1"/>
      <c r="H83" s="1"/>
      <c r="I83" s="1"/>
      <c r="J83" s="1"/>
    </row>
    <row r="84" spans="1:10">
      <c r="A84" s="1" t="s">
        <v>195</v>
      </c>
      <c r="B84" s="1" t="s">
        <v>737</v>
      </c>
      <c r="C84" s="1" t="s">
        <v>832</v>
      </c>
      <c r="D84" s="1">
        <v>0</v>
      </c>
      <c r="E84" s="1">
        <f>33-9</f>
        <v>24</v>
      </c>
      <c r="F84" s="1">
        <v>9</v>
      </c>
      <c r="G84" s="1"/>
      <c r="H84" s="1"/>
      <c r="I84" s="1"/>
      <c r="J84" s="1"/>
    </row>
    <row r="85" spans="1:10">
      <c r="A85" s="4" t="s">
        <v>196</v>
      </c>
      <c r="B85" s="4" t="s">
        <v>737</v>
      </c>
      <c r="C85" s="4" t="s">
        <v>832</v>
      </c>
      <c r="D85" s="4">
        <f>SUM(D83:D84)</f>
        <v>0</v>
      </c>
      <c r="E85" s="4">
        <f t="shared" ref="E85:F85" si="29">SUM(E83:E84)</f>
        <v>70</v>
      </c>
      <c r="F85" s="4">
        <f t="shared" si="29"/>
        <v>11</v>
      </c>
      <c r="G85" s="4">
        <f>D85/SUM(D85:F85)*100</f>
        <v>0</v>
      </c>
      <c r="H85" s="4">
        <f>E85/SUM(D85:F85)*100</f>
        <v>86.419753086419746</v>
      </c>
      <c r="I85" s="4">
        <f>F85/SUM(D85:F85)*100</f>
        <v>13.580246913580247</v>
      </c>
      <c r="J85" s="4">
        <f>SUM(D85:F85)</f>
        <v>81</v>
      </c>
    </row>
    <row r="86" spans="1:10">
      <c r="A86" s="1" t="s">
        <v>197</v>
      </c>
      <c r="B86" s="1" t="s">
        <v>737</v>
      </c>
      <c r="C86" s="1" t="s">
        <v>832</v>
      </c>
      <c r="D86" s="1">
        <v>0</v>
      </c>
      <c r="E86" s="1">
        <f>38-11</f>
        <v>27</v>
      </c>
      <c r="F86" s="1">
        <v>11</v>
      </c>
      <c r="G86" s="1"/>
      <c r="H86" s="1"/>
      <c r="I86" s="1"/>
      <c r="J86" s="1"/>
    </row>
    <row r="87" spans="1:10">
      <c r="A87" s="1" t="s">
        <v>198</v>
      </c>
      <c r="B87" s="1" t="s">
        <v>737</v>
      </c>
      <c r="C87" s="1" t="s">
        <v>832</v>
      </c>
      <c r="D87" s="1">
        <v>0</v>
      </c>
      <c r="E87" s="1">
        <f>48-23</f>
        <v>25</v>
      </c>
      <c r="F87" s="1">
        <v>23</v>
      </c>
      <c r="G87" s="1"/>
      <c r="H87" s="1"/>
      <c r="I87" s="1"/>
      <c r="J87" s="1"/>
    </row>
    <row r="88" spans="1:10">
      <c r="A88" s="4" t="s">
        <v>199</v>
      </c>
      <c r="B88" s="4" t="s">
        <v>737</v>
      </c>
      <c r="C88" s="4" t="s">
        <v>832</v>
      </c>
      <c r="D88" s="4">
        <f>SUM(D86:D87)</f>
        <v>0</v>
      </c>
      <c r="E88" s="4">
        <f t="shared" ref="E88:F88" si="30">SUM(E86:E87)</f>
        <v>52</v>
      </c>
      <c r="F88" s="4">
        <f t="shared" si="30"/>
        <v>34</v>
      </c>
      <c r="G88" s="4">
        <f>D88/SUM(D88:F88)*100</f>
        <v>0</v>
      </c>
      <c r="H88" s="4">
        <f>E88/SUM(D88:F88)*100</f>
        <v>60.465116279069761</v>
      </c>
      <c r="I88" s="4">
        <f>F88/SUM(D88:F88)*100</f>
        <v>39.534883720930232</v>
      </c>
      <c r="J88" s="4">
        <f>SUM(D88:F88)</f>
        <v>86</v>
      </c>
    </row>
    <row r="89" spans="1:10">
      <c r="A89" s="1" t="s">
        <v>200</v>
      </c>
      <c r="B89" s="1" t="s">
        <v>737</v>
      </c>
      <c r="C89" s="1" t="s">
        <v>832</v>
      </c>
      <c r="D89" s="1">
        <v>0</v>
      </c>
      <c r="E89" s="1">
        <f>64-5</f>
        <v>59</v>
      </c>
      <c r="F89" s="1">
        <v>5</v>
      </c>
      <c r="G89" s="1"/>
      <c r="H89" s="1"/>
      <c r="I89" s="1"/>
      <c r="J89" s="1"/>
    </row>
    <row r="90" spans="1:10">
      <c r="A90" s="1" t="s">
        <v>201</v>
      </c>
      <c r="B90" s="1" t="s">
        <v>737</v>
      </c>
      <c r="C90" s="1" t="s">
        <v>832</v>
      </c>
      <c r="D90" s="1">
        <v>0</v>
      </c>
      <c r="E90" s="1">
        <f>42-13</f>
        <v>29</v>
      </c>
      <c r="F90" s="1">
        <v>13</v>
      </c>
      <c r="G90" s="1"/>
      <c r="H90" s="1"/>
      <c r="I90" s="1"/>
      <c r="J90" s="1"/>
    </row>
    <row r="91" spans="1:10">
      <c r="A91" s="4" t="s">
        <v>202</v>
      </c>
      <c r="B91" s="4" t="s">
        <v>737</v>
      </c>
      <c r="C91" s="4" t="s">
        <v>832</v>
      </c>
      <c r="D91" s="4">
        <f>SUM(D89:D90)</f>
        <v>0</v>
      </c>
      <c r="E91" s="4">
        <f t="shared" ref="E91:F91" si="31">SUM(E89:E90)</f>
        <v>88</v>
      </c>
      <c r="F91" s="4">
        <f t="shared" si="31"/>
        <v>18</v>
      </c>
      <c r="G91" s="4">
        <f>D91/SUM(D91:F91)*100</f>
        <v>0</v>
      </c>
      <c r="H91" s="4">
        <f>E91/SUM(D91:F91)*100</f>
        <v>83.018867924528308</v>
      </c>
      <c r="I91" s="4">
        <f>F91/SUM(D91:F91)*100</f>
        <v>16.981132075471699</v>
      </c>
      <c r="J91" s="4">
        <f>SUM(D91:F91)</f>
        <v>106</v>
      </c>
    </row>
    <row r="92" spans="1:10">
      <c r="A92" s="1" t="s">
        <v>203</v>
      </c>
      <c r="B92" s="1" t="s">
        <v>737</v>
      </c>
      <c r="C92" s="1" t="s">
        <v>832</v>
      </c>
      <c r="D92" s="1">
        <v>0</v>
      </c>
      <c r="E92" s="1">
        <v>41</v>
      </c>
      <c r="F92" s="1">
        <v>9</v>
      </c>
      <c r="G92" s="1"/>
      <c r="H92" s="1"/>
      <c r="I92" s="1"/>
      <c r="J92" s="1"/>
    </row>
    <row r="93" spans="1:10">
      <c r="A93" s="1" t="s">
        <v>204</v>
      </c>
      <c r="B93" s="1" t="s">
        <v>737</v>
      </c>
      <c r="C93" s="1" t="s">
        <v>832</v>
      </c>
      <c r="D93" s="1">
        <v>0</v>
      </c>
      <c r="E93" s="1">
        <f>37-19</f>
        <v>18</v>
      </c>
      <c r="F93" s="1">
        <v>19</v>
      </c>
      <c r="G93" s="1"/>
      <c r="H93" s="1"/>
      <c r="I93" s="1"/>
      <c r="J93" s="1"/>
    </row>
    <row r="94" spans="1:10">
      <c r="A94" s="4" t="s">
        <v>205</v>
      </c>
      <c r="B94" s="4" t="s">
        <v>737</v>
      </c>
      <c r="C94" s="4" t="s">
        <v>832</v>
      </c>
      <c r="D94" s="4">
        <f>SUM(D92:D93)</f>
        <v>0</v>
      </c>
      <c r="E94" s="4">
        <f t="shared" ref="E94:F94" si="32">SUM(E92:E93)</f>
        <v>59</v>
      </c>
      <c r="F94" s="4">
        <f t="shared" si="32"/>
        <v>28</v>
      </c>
      <c r="G94" s="4">
        <f>D94/SUM(D94:F94)*100</f>
        <v>0</v>
      </c>
      <c r="H94" s="4">
        <f>E94/SUM(D94:F94)*100</f>
        <v>67.81609195402298</v>
      </c>
      <c r="I94" s="4">
        <f>F94/SUM(D94:F94)*100</f>
        <v>32.183908045977013</v>
      </c>
      <c r="J94" s="4">
        <f>SUM(D94:F94)</f>
        <v>87</v>
      </c>
    </row>
    <row r="95" spans="1:10">
      <c r="A95" s="1" t="s">
        <v>206</v>
      </c>
      <c r="B95" s="1" t="s">
        <v>737</v>
      </c>
      <c r="C95" s="1" t="s">
        <v>832</v>
      </c>
      <c r="D95" s="1">
        <v>0</v>
      </c>
      <c r="E95" s="1">
        <f>40-29</f>
        <v>11</v>
      </c>
      <c r="F95" s="1">
        <v>29</v>
      </c>
      <c r="G95" s="1"/>
      <c r="H95" s="1"/>
      <c r="I95" s="1"/>
      <c r="J95" s="1"/>
    </row>
    <row r="96" spans="1:10">
      <c r="A96" s="1" t="s">
        <v>207</v>
      </c>
      <c r="B96" s="1" t="s">
        <v>737</v>
      </c>
      <c r="C96" s="1" t="s">
        <v>832</v>
      </c>
      <c r="D96" s="1">
        <v>0</v>
      </c>
      <c r="E96" s="1">
        <f>41-33</f>
        <v>8</v>
      </c>
      <c r="F96" s="1">
        <v>33</v>
      </c>
      <c r="G96" s="1"/>
      <c r="H96" s="1"/>
      <c r="I96" s="1"/>
      <c r="J96" s="1"/>
    </row>
    <row r="97" spans="1:10">
      <c r="A97" s="4" t="s">
        <v>208</v>
      </c>
      <c r="B97" s="4" t="s">
        <v>737</v>
      </c>
      <c r="C97" s="4" t="s">
        <v>832</v>
      </c>
      <c r="D97" s="4">
        <f>SUM(D95:D96)</f>
        <v>0</v>
      </c>
      <c r="E97" s="4">
        <f t="shared" ref="E97:F97" si="33">SUM(E95:E96)</f>
        <v>19</v>
      </c>
      <c r="F97" s="4">
        <f t="shared" si="33"/>
        <v>62</v>
      </c>
      <c r="G97" s="4">
        <f>D97/SUM(D97:F97)*100</f>
        <v>0</v>
      </c>
      <c r="H97" s="4">
        <f>E97/SUM(D97:F97)*100</f>
        <v>23.456790123456788</v>
      </c>
      <c r="I97" s="4">
        <f>F97/SUM(D97:F97)*100</f>
        <v>76.543209876543202</v>
      </c>
      <c r="J97" s="4">
        <f>SUM(D97:F97)</f>
        <v>81</v>
      </c>
    </row>
    <row r="98" spans="1:10">
      <c r="A98" s="6" t="s">
        <v>497</v>
      </c>
      <c r="F98" s="3" t="s">
        <v>22</v>
      </c>
      <c r="G98" s="5">
        <f>AVERAGE(G61,G64,G67,G70,G73,G76,G79,G82,G85,G88,G91,G94,G97)</f>
        <v>0</v>
      </c>
      <c r="H98" s="5">
        <f>AVERAGE(H61,H64,H67,H70,H73,H76,H79,H82,H85,H88,H91,H94,H97)</f>
        <v>59.276782961913881</v>
      </c>
      <c r="I98" s="5">
        <f>AVERAGE(I61,I64,I67,I70,I73,I76,I79,I82,I85,I88,I91,I94,I97)</f>
        <v>40.723217038086126</v>
      </c>
      <c r="J98" s="2" t="s">
        <v>492</v>
      </c>
    </row>
    <row r="99" spans="1:10">
      <c r="F99" s="9" t="s">
        <v>570</v>
      </c>
      <c r="G99" s="5">
        <f>STDEV(G61,G64,G67,G70,G73,G76,G79,G82,G85,G88,G91,G94,G97)</f>
        <v>0</v>
      </c>
      <c r="H99" s="5">
        <f>STDEV(H61,H64,H67,H70,H73,H76,H79,H82,H85,H88,H91,H94,H97)</f>
        <v>21.38498494843828</v>
      </c>
      <c r="I99" s="5">
        <f>STDEV(I61,I64,I67,I70,I73,I76,I79,I82,I85,I88,I91,I94,I97)</f>
        <v>21.384984948438294</v>
      </c>
      <c r="J99" s="1">
        <f>SUM(J61,J64,J67,J70,J73,J76,J79,J82,J85,J88,J91,J94,J97)</f>
        <v>1213</v>
      </c>
    </row>
    <row r="104" spans="1:10">
      <c r="A104" s="1" t="s">
        <v>209</v>
      </c>
      <c r="B104" s="1" t="s">
        <v>49</v>
      </c>
      <c r="C104" s="1" t="s">
        <v>832</v>
      </c>
      <c r="D104" s="1"/>
      <c r="E104" s="1"/>
      <c r="F104" s="1">
        <v>1</v>
      </c>
      <c r="G104" s="1"/>
      <c r="H104" s="1"/>
      <c r="I104" s="1"/>
      <c r="J104" s="1"/>
    </row>
    <row r="105" spans="1:10">
      <c r="A105" s="1" t="s">
        <v>210</v>
      </c>
      <c r="B105" s="1" t="s">
        <v>49</v>
      </c>
      <c r="C105" s="1" t="s">
        <v>832</v>
      </c>
      <c r="D105" s="1"/>
      <c r="E105" s="1"/>
      <c r="F105" s="1">
        <v>1</v>
      </c>
      <c r="G105" s="1"/>
      <c r="H105" s="1"/>
      <c r="I105" s="1"/>
      <c r="J105" s="1"/>
    </row>
    <row r="106" spans="1:10">
      <c r="A106" s="1" t="s">
        <v>211</v>
      </c>
      <c r="B106" s="1" t="s">
        <v>49</v>
      </c>
      <c r="C106" s="1" t="s">
        <v>832</v>
      </c>
      <c r="D106" s="1"/>
      <c r="E106" s="1"/>
      <c r="F106" s="1">
        <v>1</v>
      </c>
      <c r="G106" s="1"/>
      <c r="H106" s="1"/>
      <c r="I106" s="1"/>
      <c r="J106" s="1"/>
    </row>
    <row r="107" spans="1:10">
      <c r="A107" s="4" t="s">
        <v>212</v>
      </c>
      <c r="B107" s="4" t="s">
        <v>49</v>
      </c>
      <c r="C107" s="4" t="s">
        <v>832</v>
      </c>
      <c r="D107" s="4">
        <f>SUM(D104:D106)</f>
        <v>0</v>
      </c>
      <c r="E107" s="4">
        <f t="shared" ref="E107:F107" si="34">SUM(E104:E106)</f>
        <v>0</v>
      </c>
      <c r="F107" s="4">
        <f t="shared" si="34"/>
        <v>3</v>
      </c>
      <c r="G107" s="4">
        <f>D107/SUM(D104:F107)*100</f>
        <v>0</v>
      </c>
      <c r="H107" s="4">
        <f>E107/SUM(D107:F107)*100</f>
        <v>0</v>
      </c>
      <c r="I107" s="4">
        <f>F107/SUM(D107:F107)*100</f>
        <v>100</v>
      </c>
      <c r="J107" s="4">
        <f>SUM(D107:F107)</f>
        <v>3</v>
      </c>
    </row>
    <row r="108" spans="1:10">
      <c r="A108" s="1" t="s">
        <v>213</v>
      </c>
      <c r="B108" s="1" t="s">
        <v>49</v>
      </c>
      <c r="C108" s="1" t="s">
        <v>832</v>
      </c>
      <c r="D108" s="1"/>
      <c r="E108" s="1"/>
      <c r="F108" s="1">
        <v>1</v>
      </c>
      <c r="G108" s="1"/>
      <c r="H108" s="1"/>
      <c r="I108" s="1"/>
      <c r="J108" s="1"/>
    </row>
    <row r="109" spans="1:10">
      <c r="A109" s="1" t="s">
        <v>214</v>
      </c>
      <c r="B109" s="1" t="s">
        <v>49</v>
      </c>
      <c r="C109" s="1" t="s">
        <v>832</v>
      </c>
      <c r="D109" s="1"/>
      <c r="E109" s="1"/>
      <c r="F109" s="1">
        <v>1</v>
      </c>
      <c r="G109" s="1"/>
      <c r="H109" s="1"/>
      <c r="I109" s="1"/>
      <c r="J109" s="1"/>
    </row>
    <row r="110" spans="1:10">
      <c r="A110" s="1" t="s">
        <v>214</v>
      </c>
      <c r="B110" s="1" t="s">
        <v>49</v>
      </c>
      <c r="C110" s="1" t="s">
        <v>832</v>
      </c>
      <c r="D110" s="1"/>
      <c r="E110" s="1"/>
      <c r="F110" s="1">
        <v>1</v>
      </c>
      <c r="G110" s="1"/>
      <c r="H110" s="1"/>
      <c r="I110" s="1"/>
      <c r="J110" s="1"/>
    </row>
    <row r="111" spans="1:10">
      <c r="A111" s="4" t="s">
        <v>215</v>
      </c>
      <c r="B111" s="4" t="s">
        <v>49</v>
      </c>
      <c r="C111" s="4" t="s">
        <v>832</v>
      </c>
      <c r="D111" s="4">
        <f>SUM(D108:D110)</f>
        <v>0</v>
      </c>
      <c r="E111" s="4">
        <f t="shared" ref="E111:F111" si="35">SUM(E108:E110)</f>
        <v>0</v>
      </c>
      <c r="F111" s="4">
        <f t="shared" si="35"/>
        <v>3</v>
      </c>
      <c r="G111" s="4">
        <f>D111/SUM(D108:F111)*100</f>
        <v>0</v>
      </c>
      <c r="H111" s="4">
        <f>E111/SUM(D111:F111)*100</f>
        <v>0</v>
      </c>
      <c r="I111" s="4">
        <f>F111/SUM(D111:F111)*100</f>
        <v>100</v>
      </c>
      <c r="J111" s="4">
        <f>SUM(D111:F111)</f>
        <v>3</v>
      </c>
    </row>
    <row r="112" spans="1:10">
      <c r="A112" s="1" t="s">
        <v>216</v>
      </c>
      <c r="B112" s="1" t="s">
        <v>49</v>
      </c>
      <c r="C112" s="1" t="s">
        <v>832</v>
      </c>
      <c r="D112" s="1"/>
      <c r="E112" s="1"/>
      <c r="F112" s="1">
        <v>1</v>
      </c>
      <c r="G112" s="1"/>
      <c r="H112" s="1"/>
      <c r="I112" s="1"/>
      <c r="J112" s="1"/>
    </row>
    <row r="113" spans="1:10">
      <c r="A113" s="1" t="s">
        <v>217</v>
      </c>
      <c r="B113" s="1" t="s">
        <v>49</v>
      </c>
      <c r="C113" s="1" t="s">
        <v>832</v>
      </c>
      <c r="D113" s="1"/>
      <c r="E113" s="1"/>
      <c r="F113" s="1">
        <v>1</v>
      </c>
      <c r="G113" s="1"/>
      <c r="H113" s="1"/>
      <c r="I113" s="1"/>
      <c r="J113" s="1"/>
    </row>
    <row r="114" spans="1:10">
      <c r="A114" s="1" t="s">
        <v>217</v>
      </c>
      <c r="B114" s="1" t="s">
        <v>49</v>
      </c>
      <c r="C114" s="1" t="s">
        <v>832</v>
      </c>
      <c r="D114" s="1"/>
      <c r="E114" s="1"/>
      <c r="F114" s="1"/>
      <c r="G114" s="1"/>
      <c r="H114" s="1"/>
      <c r="I114" s="1"/>
      <c r="J114" s="1"/>
    </row>
    <row r="115" spans="1:10">
      <c r="A115" s="4" t="s">
        <v>218</v>
      </c>
      <c r="B115" s="4" t="s">
        <v>49</v>
      </c>
      <c r="C115" s="4" t="s">
        <v>832</v>
      </c>
      <c r="D115" s="4">
        <f>SUM(D112:D114)</f>
        <v>0</v>
      </c>
      <c r="E115" s="4">
        <f t="shared" ref="E115:F115" si="36">SUM(E112:E114)</f>
        <v>0</v>
      </c>
      <c r="F115" s="4">
        <f t="shared" si="36"/>
        <v>2</v>
      </c>
      <c r="G115" s="4">
        <f>D115/SUM(D112:F115)*100</f>
        <v>0</v>
      </c>
      <c r="H115" s="4">
        <f t="shared" ref="H115:H163" si="37">E115/SUM(D115:F115)*100</f>
        <v>0</v>
      </c>
      <c r="I115" s="4">
        <f t="shared" ref="I115:I163" si="38">F115/SUM(D115:F115)*100</f>
        <v>100</v>
      </c>
      <c r="J115" s="4">
        <f t="shared" ref="J115:J163" si="39">SUM(D115:F115)</f>
        <v>2</v>
      </c>
    </row>
    <row r="116" spans="1:10">
      <c r="A116" s="4" t="s">
        <v>219</v>
      </c>
      <c r="B116" s="4" t="s">
        <v>49</v>
      </c>
      <c r="C116" s="4" t="s">
        <v>832</v>
      </c>
      <c r="D116" s="4">
        <f t="shared" ref="D116:E116" si="40">SUM(D113:D115)</f>
        <v>0</v>
      </c>
      <c r="E116" s="4">
        <f t="shared" si="40"/>
        <v>0</v>
      </c>
      <c r="F116" s="4">
        <v>3</v>
      </c>
      <c r="G116" s="4">
        <f t="shared" ref="G116:G163" si="41">D116/SUM(D116:F116)*100</f>
        <v>0</v>
      </c>
      <c r="H116" s="4">
        <f t="shared" si="37"/>
        <v>0</v>
      </c>
      <c r="I116" s="4">
        <f t="shared" si="38"/>
        <v>100</v>
      </c>
      <c r="J116" s="4">
        <f t="shared" si="39"/>
        <v>3</v>
      </c>
    </row>
    <row r="117" spans="1:10">
      <c r="A117" s="4" t="s">
        <v>220</v>
      </c>
      <c r="B117" s="4" t="s">
        <v>49</v>
      </c>
      <c r="C117" s="4" t="s">
        <v>832</v>
      </c>
      <c r="D117" s="4">
        <f t="shared" ref="D117:E117" si="42">SUM(D114:D116)</f>
        <v>0</v>
      </c>
      <c r="E117" s="4">
        <f t="shared" si="42"/>
        <v>0</v>
      </c>
      <c r="F117" s="4">
        <v>2</v>
      </c>
      <c r="G117" s="4">
        <f t="shared" si="41"/>
        <v>0</v>
      </c>
      <c r="H117" s="4">
        <f t="shared" si="37"/>
        <v>0</v>
      </c>
      <c r="I117" s="4">
        <f t="shared" si="38"/>
        <v>100</v>
      </c>
      <c r="J117" s="4">
        <f t="shared" si="39"/>
        <v>2</v>
      </c>
    </row>
    <row r="118" spans="1:10">
      <c r="A118" s="4" t="s">
        <v>221</v>
      </c>
      <c r="B118" s="4" t="s">
        <v>49</v>
      </c>
      <c r="C118" s="4" t="s">
        <v>832</v>
      </c>
      <c r="D118" s="4">
        <f t="shared" ref="D118:E133" si="43">SUM(D115:D117)</f>
        <v>0</v>
      </c>
      <c r="E118" s="4">
        <f t="shared" si="43"/>
        <v>0</v>
      </c>
      <c r="F118" s="4">
        <v>2</v>
      </c>
      <c r="G118" s="4">
        <f t="shared" si="41"/>
        <v>0</v>
      </c>
      <c r="H118" s="4">
        <f t="shared" si="37"/>
        <v>0</v>
      </c>
      <c r="I118" s="4">
        <f t="shared" si="38"/>
        <v>100</v>
      </c>
      <c r="J118" s="4">
        <f t="shared" si="39"/>
        <v>2</v>
      </c>
    </row>
    <row r="119" spans="1:10">
      <c r="A119" s="4" t="s">
        <v>222</v>
      </c>
      <c r="B119" s="4" t="s">
        <v>49</v>
      </c>
      <c r="C119" s="4" t="s">
        <v>832</v>
      </c>
      <c r="D119" s="4">
        <f t="shared" si="43"/>
        <v>0</v>
      </c>
      <c r="E119" s="4">
        <f t="shared" si="43"/>
        <v>0</v>
      </c>
      <c r="F119" s="4">
        <v>2</v>
      </c>
      <c r="G119" s="4">
        <f t="shared" si="41"/>
        <v>0</v>
      </c>
      <c r="H119" s="4">
        <f t="shared" si="37"/>
        <v>0</v>
      </c>
      <c r="I119" s="4">
        <f t="shared" si="38"/>
        <v>100</v>
      </c>
      <c r="J119" s="4">
        <f t="shared" si="39"/>
        <v>2</v>
      </c>
    </row>
    <row r="120" spans="1:10">
      <c r="A120" s="4" t="s">
        <v>223</v>
      </c>
      <c r="B120" s="4" t="s">
        <v>49</v>
      </c>
      <c r="C120" s="4" t="s">
        <v>832</v>
      </c>
      <c r="D120" s="4">
        <f t="shared" si="43"/>
        <v>0</v>
      </c>
      <c r="E120" s="4">
        <f t="shared" si="43"/>
        <v>0</v>
      </c>
      <c r="F120" s="4">
        <v>3</v>
      </c>
      <c r="G120" s="4">
        <f t="shared" si="41"/>
        <v>0</v>
      </c>
      <c r="H120" s="4">
        <f t="shared" si="37"/>
        <v>0</v>
      </c>
      <c r="I120" s="4">
        <f t="shared" si="38"/>
        <v>100</v>
      </c>
      <c r="J120" s="4">
        <f t="shared" si="39"/>
        <v>3</v>
      </c>
    </row>
    <row r="121" spans="1:10">
      <c r="A121" s="4" t="s">
        <v>224</v>
      </c>
      <c r="B121" s="4" t="s">
        <v>49</v>
      </c>
      <c r="C121" s="4" t="s">
        <v>832</v>
      </c>
      <c r="D121" s="4">
        <f t="shared" si="43"/>
        <v>0</v>
      </c>
      <c r="E121" s="4">
        <f t="shared" si="43"/>
        <v>0</v>
      </c>
      <c r="F121" s="4">
        <v>1</v>
      </c>
      <c r="G121" s="4">
        <f t="shared" si="41"/>
        <v>0</v>
      </c>
      <c r="H121" s="4">
        <f t="shared" si="37"/>
        <v>0</v>
      </c>
      <c r="I121" s="4">
        <f t="shared" si="38"/>
        <v>100</v>
      </c>
      <c r="J121" s="4">
        <f t="shared" si="39"/>
        <v>1</v>
      </c>
    </row>
    <row r="122" spans="1:10">
      <c r="A122" s="4" t="s">
        <v>225</v>
      </c>
      <c r="B122" s="4" t="s">
        <v>49</v>
      </c>
      <c r="C122" s="4" t="s">
        <v>832</v>
      </c>
      <c r="D122" s="4">
        <f t="shared" si="43"/>
        <v>0</v>
      </c>
      <c r="E122" s="4">
        <f t="shared" si="43"/>
        <v>0</v>
      </c>
      <c r="F122" s="4">
        <v>3</v>
      </c>
      <c r="G122" s="4">
        <f t="shared" si="41"/>
        <v>0</v>
      </c>
      <c r="H122" s="4">
        <f t="shared" si="37"/>
        <v>0</v>
      </c>
      <c r="I122" s="4">
        <f t="shared" si="38"/>
        <v>100</v>
      </c>
      <c r="J122" s="4">
        <f t="shared" si="39"/>
        <v>3</v>
      </c>
    </row>
    <row r="123" spans="1:10">
      <c r="A123" s="4" t="s">
        <v>226</v>
      </c>
      <c r="B123" s="4" t="s">
        <v>49</v>
      </c>
      <c r="C123" s="4" t="s">
        <v>832</v>
      </c>
      <c r="D123" s="4">
        <f t="shared" si="43"/>
        <v>0</v>
      </c>
      <c r="E123" s="4">
        <f t="shared" si="43"/>
        <v>0</v>
      </c>
      <c r="F123" s="4">
        <v>2</v>
      </c>
      <c r="G123" s="4">
        <f t="shared" si="41"/>
        <v>0</v>
      </c>
      <c r="H123" s="4">
        <f t="shared" si="37"/>
        <v>0</v>
      </c>
      <c r="I123" s="4">
        <f t="shared" si="38"/>
        <v>100</v>
      </c>
      <c r="J123" s="4">
        <f t="shared" si="39"/>
        <v>2</v>
      </c>
    </row>
    <row r="124" spans="1:10">
      <c r="A124" s="4" t="s">
        <v>227</v>
      </c>
      <c r="B124" s="4" t="s">
        <v>49</v>
      </c>
      <c r="C124" s="4" t="s">
        <v>832</v>
      </c>
      <c r="D124" s="4">
        <f t="shared" si="43"/>
        <v>0</v>
      </c>
      <c r="E124" s="4">
        <f t="shared" si="43"/>
        <v>0</v>
      </c>
      <c r="F124" s="4">
        <v>2</v>
      </c>
      <c r="G124" s="4">
        <f t="shared" si="41"/>
        <v>0</v>
      </c>
      <c r="H124" s="4">
        <f t="shared" si="37"/>
        <v>0</v>
      </c>
      <c r="I124" s="4">
        <f t="shared" si="38"/>
        <v>100</v>
      </c>
      <c r="J124" s="4">
        <f t="shared" si="39"/>
        <v>2</v>
      </c>
    </row>
    <row r="125" spans="1:10">
      <c r="A125" s="4" t="s">
        <v>228</v>
      </c>
      <c r="B125" s="4" t="s">
        <v>49</v>
      </c>
      <c r="C125" s="4" t="s">
        <v>832</v>
      </c>
      <c r="D125" s="4">
        <f t="shared" si="43"/>
        <v>0</v>
      </c>
      <c r="E125" s="4">
        <f t="shared" si="43"/>
        <v>0</v>
      </c>
      <c r="F125" s="4">
        <v>3</v>
      </c>
      <c r="G125" s="4">
        <f t="shared" si="41"/>
        <v>0</v>
      </c>
      <c r="H125" s="4">
        <f t="shared" si="37"/>
        <v>0</v>
      </c>
      <c r="I125" s="4">
        <f t="shared" si="38"/>
        <v>100</v>
      </c>
      <c r="J125" s="4">
        <f t="shared" si="39"/>
        <v>3</v>
      </c>
    </row>
    <row r="126" spans="1:10">
      <c r="A126" s="4" t="s">
        <v>229</v>
      </c>
      <c r="B126" s="4" t="s">
        <v>49</v>
      </c>
      <c r="C126" s="4" t="s">
        <v>832</v>
      </c>
      <c r="D126" s="4">
        <f t="shared" si="43"/>
        <v>0</v>
      </c>
      <c r="E126" s="4">
        <f t="shared" si="43"/>
        <v>0</v>
      </c>
      <c r="F126" s="4">
        <v>2</v>
      </c>
      <c r="G126" s="4">
        <f t="shared" si="41"/>
        <v>0</v>
      </c>
      <c r="H126" s="4">
        <f t="shared" si="37"/>
        <v>0</v>
      </c>
      <c r="I126" s="4">
        <f t="shared" si="38"/>
        <v>100</v>
      </c>
      <c r="J126" s="4">
        <f t="shared" si="39"/>
        <v>2</v>
      </c>
    </row>
    <row r="127" spans="1:10">
      <c r="A127" s="4" t="s">
        <v>230</v>
      </c>
      <c r="B127" s="4" t="s">
        <v>49</v>
      </c>
      <c r="C127" s="4" t="s">
        <v>832</v>
      </c>
      <c r="D127" s="4">
        <f t="shared" si="43"/>
        <v>0</v>
      </c>
      <c r="E127" s="4">
        <f t="shared" si="43"/>
        <v>0</v>
      </c>
      <c r="F127" s="4">
        <v>1</v>
      </c>
      <c r="G127" s="4">
        <f t="shared" si="41"/>
        <v>0</v>
      </c>
      <c r="H127" s="4">
        <f t="shared" si="37"/>
        <v>0</v>
      </c>
      <c r="I127" s="4">
        <f t="shared" si="38"/>
        <v>100</v>
      </c>
      <c r="J127" s="4">
        <f t="shared" si="39"/>
        <v>1</v>
      </c>
    </row>
    <row r="128" spans="1:10">
      <c r="A128" s="4" t="s">
        <v>231</v>
      </c>
      <c r="B128" s="4" t="s">
        <v>49</v>
      </c>
      <c r="C128" s="4" t="s">
        <v>832</v>
      </c>
      <c r="D128" s="4">
        <f t="shared" si="43"/>
        <v>0</v>
      </c>
      <c r="E128" s="4">
        <f t="shared" si="43"/>
        <v>0</v>
      </c>
      <c r="F128" s="4">
        <v>3</v>
      </c>
      <c r="G128" s="4">
        <f t="shared" si="41"/>
        <v>0</v>
      </c>
      <c r="H128" s="4">
        <f t="shared" si="37"/>
        <v>0</v>
      </c>
      <c r="I128" s="4">
        <f t="shared" si="38"/>
        <v>100</v>
      </c>
      <c r="J128" s="4">
        <f t="shared" si="39"/>
        <v>3</v>
      </c>
    </row>
    <row r="129" spans="1:10">
      <c r="A129" s="4" t="s">
        <v>232</v>
      </c>
      <c r="B129" s="4" t="s">
        <v>49</v>
      </c>
      <c r="C129" s="4" t="s">
        <v>832</v>
      </c>
      <c r="D129" s="4">
        <f t="shared" si="43"/>
        <v>0</v>
      </c>
      <c r="E129" s="4">
        <f t="shared" si="43"/>
        <v>0</v>
      </c>
      <c r="F129" s="4">
        <v>2</v>
      </c>
      <c r="G129" s="4">
        <f t="shared" si="41"/>
        <v>0</v>
      </c>
      <c r="H129" s="4">
        <f t="shared" si="37"/>
        <v>0</v>
      </c>
      <c r="I129" s="4">
        <f t="shared" si="38"/>
        <v>100</v>
      </c>
      <c r="J129" s="4">
        <f t="shared" si="39"/>
        <v>2</v>
      </c>
    </row>
    <row r="130" spans="1:10">
      <c r="A130" s="4" t="s">
        <v>233</v>
      </c>
      <c r="B130" s="4" t="s">
        <v>49</v>
      </c>
      <c r="C130" s="4" t="s">
        <v>832</v>
      </c>
      <c r="D130" s="4">
        <f t="shared" si="43"/>
        <v>0</v>
      </c>
      <c r="E130" s="4">
        <f t="shared" si="43"/>
        <v>0</v>
      </c>
      <c r="F130" s="4">
        <v>3</v>
      </c>
      <c r="G130" s="4">
        <f t="shared" si="41"/>
        <v>0</v>
      </c>
      <c r="H130" s="4">
        <f t="shared" si="37"/>
        <v>0</v>
      </c>
      <c r="I130" s="4">
        <f t="shared" si="38"/>
        <v>100</v>
      </c>
      <c r="J130" s="4">
        <f t="shared" si="39"/>
        <v>3</v>
      </c>
    </row>
    <row r="131" spans="1:10">
      <c r="A131" s="4" t="s">
        <v>234</v>
      </c>
      <c r="B131" s="4" t="s">
        <v>49</v>
      </c>
      <c r="C131" s="4" t="s">
        <v>832</v>
      </c>
      <c r="D131" s="4">
        <f t="shared" si="43"/>
        <v>0</v>
      </c>
      <c r="E131" s="4">
        <f t="shared" si="43"/>
        <v>0</v>
      </c>
      <c r="F131" s="4">
        <v>2</v>
      </c>
      <c r="G131" s="4">
        <f t="shared" si="41"/>
        <v>0</v>
      </c>
      <c r="H131" s="4">
        <f t="shared" si="37"/>
        <v>0</v>
      </c>
      <c r="I131" s="4">
        <f t="shared" si="38"/>
        <v>100</v>
      </c>
      <c r="J131" s="4">
        <f t="shared" si="39"/>
        <v>2</v>
      </c>
    </row>
    <row r="132" spans="1:10">
      <c r="A132" s="4" t="s">
        <v>235</v>
      </c>
      <c r="B132" s="4" t="s">
        <v>49</v>
      </c>
      <c r="C132" s="4" t="s">
        <v>832</v>
      </c>
      <c r="D132" s="4">
        <f t="shared" si="43"/>
        <v>0</v>
      </c>
      <c r="E132" s="4">
        <f t="shared" si="43"/>
        <v>0</v>
      </c>
      <c r="F132" s="4">
        <v>2</v>
      </c>
      <c r="G132" s="4">
        <f t="shared" si="41"/>
        <v>0</v>
      </c>
      <c r="H132" s="4">
        <f t="shared" si="37"/>
        <v>0</v>
      </c>
      <c r="I132" s="4">
        <f t="shared" si="38"/>
        <v>100</v>
      </c>
      <c r="J132" s="4">
        <f t="shared" si="39"/>
        <v>2</v>
      </c>
    </row>
    <row r="133" spans="1:10">
      <c r="A133" s="4" t="s">
        <v>236</v>
      </c>
      <c r="B133" s="4" t="s">
        <v>49</v>
      </c>
      <c r="C133" s="4" t="s">
        <v>832</v>
      </c>
      <c r="D133" s="4">
        <f t="shared" si="43"/>
        <v>0</v>
      </c>
      <c r="E133" s="4">
        <f t="shared" si="43"/>
        <v>0</v>
      </c>
      <c r="F133" s="4">
        <v>3</v>
      </c>
      <c r="G133" s="4">
        <f t="shared" si="41"/>
        <v>0</v>
      </c>
      <c r="H133" s="4">
        <f t="shared" si="37"/>
        <v>0</v>
      </c>
      <c r="I133" s="4">
        <f t="shared" si="38"/>
        <v>100</v>
      </c>
      <c r="J133" s="4">
        <f t="shared" si="39"/>
        <v>3</v>
      </c>
    </row>
    <row r="134" spans="1:10">
      <c r="A134" s="4" t="s">
        <v>237</v>
      </c>
      <c r="B134" s="4" t="s">
        <v>49</v>
      </c>
      <c r="C134" s="4" t="s">
        <v>832</v>
      </c>
      <c r="D134" s="4">
        <f t="shared" ref="D134:E149" si="44">SUM(D131:D133)</f>
        <v>0</v>
      </c>
      <c r="E134" s="4">
        <f t="shared" si="44"/>
        <v>0</v>
      </c>
      <c r="F134" s="4">
        <v>3</v>
      </c>
      <c r="G134" s="4">
        <f t="shared" si="41"/>
        <v>0</v>
      </c>
      <c r="H134" s="4">
        <f t="shared" si="37"/>
        <v>0</v>
      </c>
      <c r="I134" s="4">
        <f t="shared" si="38"/>
        <v>100</v>
      </c>
      <c r="J134" s="4">
        <f t="shared" si="39"/>
        <v>3</v>
      </c>
    </row>
    <row r="135" spans="1:10">
      <c r="A135" s="4" t="s">
        <v>238</v>
      </c>
      <c r="B135" s="4" t="s">
        <v>49</v>
      </c>
      <c r="C135" s="4" t="s">
        <v>832</v>
      </c>
      <c r="D135" s="4">
        <f t="shared" si="44"/>
        <v>0</v>
      </c>
      <c r="E135" s="4">
        <f t="shared" si="44"/>
        <v>0</v>
      </c>
      <c r="F135" s="4">
        <v>4</v>
      </c>
      <c r="G135" s="4">
        <f t="shared" si="41"/>
        <v>0</v>
      </c>
      <c r="H135" s="4">
        <f t="shared" si="37"/>
        <v>0</v>
      </c>
      <c r="I135" s="4">
        <f t="shared" si="38"/>
        <v>100</v>
      </c>
      <c r="J135" s="4">
        <f t="shared" si="39"/>
        <v>4</v>
      </c>
    </row>
    <row r="136" spans="1:10">
      <c r="A136" s="4" t="s">
        <v>239</v>
      </c>
      <c r="B136" s="4" t="s">
        <v>49</v>
      </c>
      <c r="C136" s="4" t="s">
        <v>832</v>
      </c>
      <c r="D136" s="4">
        <f t="shared" si="44"/>
        <v>0</v>
      </c>
      <c r="E136" s="4">
        <f t="shared" si="44"/>
        <v>0</v>
      </c>
      <c r="F136" s="4">
        <v>3</v>
      </c>
      <c r="G136" s="4">
        <f t="shared" si="41"/>
        <v>0</v>
      </c>
      <c r="H136" s="4">
        <f t="shared" si="37"/>
        <v>0</v>
      </c>
      <c r="I136" s="4">
        <f t="shared" si="38"/>
        <v>100</v>
      </c>
      <c r="J136" s="4">
        <f t="shared" si="39"/>
        <v>3</v>
      </c>
    </row>
    <row r="137" spans="1:10">
      <c r="A137" s="4" t="s">
        <v>240</v>
      </c>
      <c r="B137" s="4" t="s">
        <v>49</v>
      </c>
      <c r="C137" s="4" t="s">
        <v>832</v>
      </c>
      <c r="D137" s="4">
        <f>SUM(D134:D136)</f>
        <v>0</v>
      </c>
      <c r="E137" s="4">
        <f t="shared" si="44"/>
        <v>0</v>
      </c>
      <c r="F137" s="4">
        <v>3</v>
      </c>
      <c r="G137" s="4">
        <f t="shared" si="41"/>
        <v>0</v>
      </c>
      <c r="H137" s="4">
        <f t="shared" si="37"/>
        <v>0</v>
      </c>
      <c r="I137" s="4">
        <f t="shared" si="38"/>
        <v>100</v>
      </c>
      <c r="J137" s="4">
        <f t="shared" si="39"/>
        <v>3</v>
      </c>
    </row>
    <row r="138" spans="1:10">
      <c r="A138" s="4" t="s">
        <v>241</v>
      </c>
      <c r="B138" s="4" t="s">
        <v>49</v>
      </c>
      <c r="C138" s="4" t="s">
        <v>832</v>
      </c>
      <c r="D138" s="4">
        <f t="shared" ref="D138:D147" si="45">SUM(D135:D137)</f>
        <v>0</v>
      </c>
      <c r="E138" s="4">
        <f t="shared" si="44"/>
        <v>0</v>
      </c>
      <c r="F138" s="4">
        <v>2</v>
      </c>
      <c r="G138" s="4">
        <f t="shared" si="41"/>
        <v>0</v>
      </c>
      <c r="H138" s="4">
        <f t="shared" si="37"/>
        <v>0</v>
      </c>
      <c r="I138" s="4">
        <f t="shared" si="38"/>
        <v>100</v>
      </c>
      <c r="J138" s="4">
        <f t="shared" si="39"/>
        <v>2</v>
      </c>
    </row>
    <row r="139" spans="1:10">
      <c r="A139" s="4" t="s">
        <v>242</v>
      </c>
      <c r="B139" s="4" t="s">
        <v>49</v>
      </c>
      <c r="C139" s="4" t="s">
        <v>832</v>
      </c>
      <c r="D139" s="4">
        <f t="shared" si="45"/>
        <v>0</v>
      </c>
      <c r="E139" s="4">
        <f t="shared" si="44"/>
        <v>0</v>
      </c>
      <c r="F139" s="4">
        <v>2</v>
      </c>
      <c r="G139" s="4">
        <f t="shared" si="41"/>
        <v>0</v>
      </c>
      <c r="H139" s="4">
        <f t="shared" si="37"/>
        <v>0</v>
      </c>
      <c r="I139" s="4">
        <f t="shared" si="38"/>
        <v>100</v>
      </c>
      <c r="J139" s="4">
        <f t="shared" si="39"/>
        <v>2</v>
      </c>
    </row>
    <row r="140" spans="1:10">
      <c r="A140" s="4" t="s">
        <v>243</v>
      </c>
      <c r="B140" s="4" t="s">
        <v>49</v>
      </c>
      <c r="C140" s="4" t="s">
        <v>832</v>
      </c>
      <c r="D140" s="4">
        <f t="shared" si="45"/>
        <v>0</v>
      </c>
      <c r="E140" s="4">
        <f t="shared" si="44"/>
        <v>0</v>
      </c>
      <c r="F140" s="4">
        <v>3</v>
      </c>
      <c r="G140" s="4">
        <f t="shared" si="41"/>
        <v>0</v>
      </c>
      <c r="H140" s="4">
        <f t="shared" si="37"/>
        <v>0</v>
      </c>
      <c r="I140" s="4">
        <f t="shared" si="38"/>
        <v>100</v>
      </c>
      <c r="J140" s="4">
        <f t="shared" si="39"/>
        <v>3</v>
      </c>
    </row>
    <row r="141" spans="1:10">
      <c r="A141" s="4" t="s">
        <v>244</v>
      </c>
      <c r="B141" s="4" t="s">
        <v>49</v>
      </c>
      <c r="C141" s="4" t="s">
        <v>832</v>
      </c>
      <c r="D141" s="4">
        <f t="shared" si="45"/>
        <v>0</v>
      </c>
      <c r="E141" s="4">
        <f t="shared" si="44"/>
        <v>0</v>
      </c>
      <c r="F141" s="4">
        <v>2</v>
      </c>
      <c r="G141" s="4">
        <f t="shared" si="41"/>
        <v>0</v>
      </c>
      <c r="H141" s="4">
        <f t="shared" si="37"/>
        <v>0</v>
      </c>
      <c r="I141" s="4">
        <f t="shared" si="38"/>
        <v>100</v>
      </c>
      <c r="J141" s="4">
        <f t="shared" si="39"/>
        <v>2</v>
      </c>
    </row>
    <row r="142" spans="1:10">
      <c r="A142" s="4" t="s">
        <v>245</v>
      </c>
      <c r="B142" s="4" t="s">
        <v>49</v>
      </c>
      <c r="C142" s="4" t="s">
        <v>832</v>
      </c>
      <c r="D142" s="4">
        <f t="shared" si="45"/>
        <v>0</v>
      </c>
      <c r="E142" s="4">
        <f t="shared" si="44"/>
        <v>0</v>
      </c>
      <c r="F142" s="4">
        <v>2</v>
      </c>
      <c r="G142" s="4">
        <f t="shared" si="41"/>
        <v>0</v>
      </c>
      <c r="H142" s="4">
        <f t="shared" si="37"/>
        <v>0</v>
      </c>
      <c r="I142" s="4">
        <f t="shared" si="38"/>
        <v>100</v>
      </c>
      <c r="J142" s="4">
        <f t="shared" si="39"/>
        <v>2</v>
      </c>
    </row>
    <row r="143" spans="1:10">
      <c r="A143" s="4" t="s">
        <v>246</v>
      </c>
      <c r="B143" s="4" t="s">
        <v>49</v>
      </c>
      <c r="C143" s="4" t="s">
        <v>832</v>
      </c>
      <c r="D143" s="4">
        <f t="shared" si="45"/>
        <v>0</v>
      </c>
      <c r="E143" s="4">
        <f t="shared" si="44"/>
        <v>0</v>
      </c>
      <c r="F143" s="4">
        <v>1</v>
      </c>
      <c r="G143" s="4">
        <f t="shared" si="41"/>
        <v>0</v>
      </c>
      <c r="H143" s="4">
        <f t="shared" si="37"/>
        <v>0</v>
      </c>
      <c r="I143" s="4">
        <f t="shared" si="38"/>
        <v>100</v>
      </c>
      <c r="J143" s="4">
        <f t="shared" si="39"/>
        <v>1</v>
      </c>
    </row>
    <row r="144" spans="1:10">
      <c r="A144" s="4" t="s">
        <v>247</v>
      </c>
      <c r="B144" s="4" t="s">
        <v>49</v>
      </c>
      <c r="C144" s="4" t="s">
        <v>832</v>
      </c>
      <c r="D144" s="4">
        <f t="shared" si="45"/>
        <v>0</v>
      </c>
      <c r="E144" s="4">
        <f t="shared" si="44"/>
        <v>0</v>
      </c>
      <c r="F144" s="4">
        <v>1</v>
      </c>
      <c r="G144" s="4">
        <f t="shared" si="41"/>
        <v>0</v>
      </c>
      <c r="H144" s="4">
        <f t="shared" si="37"/>
        <v>0</v>
      </c>
      <c r="I144" s="4">
        <f t="shared" si="38"/>
        <v>100</v>
      </c>
      <c r="J144" s="4">
        <f t="shared" si="39"/>
        <v>1</v>
      </c>
    </row>
    <row r="145" spans="1:10">
      <c r="A145" s="4" t="s">
        <v>248</v>
      </c>
      <c r="B145" s="4" t="s">
        <v>49</v>
      </c>
      <c r="C145" s="4" t="s">
        <v>832</v>
      </c>
      <c r="D145" s="4">
        <f t="shared" si="45"/>
        <v>0</v>
      </c>
      <c r="E145" s="4">
        <f t="shared" si="44"/>
        <v>0</v>
      </c>
      <c r="F145" s="4">
        <v>2</v>
      </c>
      <c r="G145" s="4">
        <f t="shared" si="41"/>
        <v>0</v>
      </c>
      <c r="H145" s="4">
        <f t="shared" si="37"/>
        <v>0</v>
      </c>
      <c r="I145" s="4">
        <f t="shared" si="38"/>
        <v>100</v>
      </c>
      <c r="J145" s="4">
        <f t="shared" si="39"/>
        <v>2</v>
      </c>
    </row>
    <row r="146" spans="1:10">
      <c r="A146" s="4" t="s">
        <v>249</v>
      </c>
      <c r="B146" s="4" t="s">
        <v>49</v>
      </c>
      <c r="C146" s="4" t="s">
        <v>832</v>
      </c>
      <c r="D146" s="4">
        <f t="shared" si="45"/>
        <v>0</v>
      </c>
      <c r="E146" s="4">
        <f t="shared" si="44"/>
        <v>0</v>
      </c>
      <c r="F146" s="4">
        <v>2</v>
      </c>
      <c r="G146" s="4">
        <f t="shared" si="41"/>
        <v>0</v>
      </c>
      <c r="H146" s="4">
        <f t="shared" si="37"/>
        <v>0</v>
      </c>
      <c r="I146" s="4">
        <f t="shared" si="38"/>
        <v>100</v>
      </c>
      <c r="J146" s="4">
        <f t="shared" si="39"/>
        <v>2</v>
      </c>
    </row>
    <row r="147" spans="1:10">
      <c r="A147" s="4" t="s">
        <v>250</v>
      </c>
      <c r="B147" s="4" t="s">
        <v>49</v>
      </c>
      <c r="C147" s="4" t="s">
        <v>832</v>
      </c>
      <c r="D147" s="4">
        <f t="shared" si="45"/>
        <v>0</v>
      </c>
      <c r="E147" s="4">
        <f t="shared" si="44"/>
        <v>0</v>
      </c>
      <c r="F147" s="4">
        <v>3</v>
      </c>
      <c r="G147" s="4">
        <f t="shared" si="41"/>
        <v>0</v>
      </c>
      <c r="H147" s="4">
        <f t="shared" si="37"/>
        <v>0</v>
      </c>
      <c r="I147" s="4">
        <f t="shared" si="38"/>
        <v>100</v>
      </c>
      <c r="J147" s="4">
        <f t="shared" si="39"/>
        <v>3</v>
      </c>
    </row>
    <row r="148" spans="1:10">
      <c r="A148" s="4" t="s">
        <v>251</v>
      </c>
      <c r="B148" s="4" t="s">
        <v>49</v>
      </c>
      <c r="C148" s="4" t="s">
        <v>832</v>
      </c>
      <c r="D148" s="4">
        <f>SUM(D145:D147)</f>
        <v>0</v>
      </c>
      <c r="E148" s="4">
        <f t="shared" si="44"/>
        <v>0</v>
      </c>
      <c r="F148" s="4">
        <v>3</v>
      </c>
      <c r="G148" s="4">
        <f t="shared" si="41"/>
        <v>0</v>
      </c>
      <c r="H148" s="4">
        <f t="shared" si="37"/>
        <v>0</v>
      </c>
      <c r="I148" s="4">
        <f t="shared" si="38"/>
        <v>100</v>
      </c>
      <c r="J148" s="4">
        <f t="shared" si="39"/>
        <v>3</v>
      </c>
    </row>
    <row r="149" spans="1:10">
      <c r="A149" s="4" t="s">
        <v>252</v>
      </c>
      <c r="B149" s="4" t="s">
        <v>49</v>
      </c>
      <c r="C149" s="4" t="s">
        <v>832</v>
      </c>
      <c r="D149" s="4">
        <f t="shared" ref="D149:E163" si="46">SUM(D146:D148)</f>
        <v>0</v>
      </c>
      <c r="E149" s="4">
        <f t="shared" si="44"/>
        <v>0</v>
      </c>
      <c r="F149" s="4">
        <v>3</v>
      </c>
      <c r="G149" s="4">
        <f t="shared" si="41"/>
        <v>0</v>
      </c>
      <c r="H149" s="4">
        <f t="shared" si="37"/>
        <v>0</v>
      </c>
      <c r="I149" s="4">
        <f t="shared" si="38"/>
        <v>100</v>
      </c>
      <c r="J149" s="4">
        <f t="shared" si="39"/>
        <v>3</v>
      </c>
    </row>
    <row r="150" spans="1:10">
      <c r="A150" s="4" t="s">
        <v>253</v>
      </c>
      <c r="B150" s="4" t="s">
        <v>49</v>
      </c>
      <c r="C150" s="4" t="s">
        <v>832</v>
      </c>
      <c r="D150" s="4">
        <f t="shared" si="46"/>
        <v>0</v>
      </c>
      <c r="E150" s="4">
        <f t="shared" si="46"/>
        <v>0</v>
      </c>
      <c r="F150" s="4">
        <v>2</v>
      </c>
      <c r="G150" s="4">
        <f t="shared" si="41"/>
        <v>0</v>
      </c>
      <c r="H150" s="4">
        <f t="shared" si="37"/>
        <v>0</v>
      </c>
      <c r="I150" s="4">
        <f t="shared" si="38"/>
        <v>100</v>
      </c>
      <c r="J150" s="4">
        <f t="shared" si="39"/>
        <v>2</v>
      </c>
    </row>
    <row r="151" spans="1:10">
      <c r="A151" s="4" t="s">
        <v>254</v>
      </c>
      <c r="B151" s="4" t="s">
        <v>49</v>
      </c>
      <c r="C151" s="4" t="s">
        <v>832</v>
      </c>
      <c r="D151" s="4">
        <f t="shared" si="46"/>
        <v>0</v>
      </c>
      <c r="E151" s="4">
        <f t="shared" si="46"/>
        <v>0</v>
      </c>
      <c r="F151" s="4">
        <v>3</v>
      </c>
      <c r="G151" s="4">
        <f t="shared" si="41"/>
        <v>0</v>
      </c>
      <c r="H151" s="4">
        <f t="shared" si="37"/>
        <v>0</v>
      </c>
      <c r="I151" s="4">
        <f t="shared" si="38"/>
        <v>100</v>
      </c>
      <c r="J151" s="4">
        <f t="shared" si="39"/>
        <v>3</v>
      </c>
    </row>
    <row r="152" spans="1:10">
      <c r="A152" s="4" t="s">
        <v>255</v>
      </c>
      <c r="B152" s="4" t="s">
        <v>49</v>
      </c>
      <c r="C152" s="4" t="s">
        <v>832</v>
      </c>
      <c r="D152" s="4">
        <f t="shared" si="46"/>
        <v>0</v>
      </c>
      <c r="E152" s="4">
        <f t="shared" si="46"/>
        <v>0</v>
      </c>
      <c r="F152" s="4">
        <v>3</v>
      </c>
      <c r="G152" s="4">
        <f t="shared" si="41"/>
        <v>0</v>
      </c>
      <c r="H152" s="4">
        <f t="shared" si="37"/>
        <v>0</v>
      </c>
      <c r="I152" s="4">
        <f t="shared" si="38"/>
        <v>100</v>
      </c>
      <c r="J152" s="4">
        <f t="shared" si="39"/>
        <v>3</v>
      </c>
    </row>
    <row r="153" spans="1:10">
      <c r="A153" s="4" t="s">
        <v>256</v>
      </c>
      <c r="B153" s="4" t="s">
        <v>49</v>
      </c>
      <c r="C153" s="4" t="s">
        <v>832</v>
      </c>
      <c r="D153" s="4">
        <f t="shared" si="46"/>
        <v>0</v>
      </c>
      <c r="E153" s="4">
        <f t="shared" si="46"/>
        <v>0</v>
      </c>
      <c r="F153" s="4">
        <v>3</v>
      </c>
      <c r="G153" s="4">
        <f t="shared" si="41"/>
        <v>0</v>
      </c>
      <c r="H153" s="4">
        <f t="shared" si="37"/>
        <v>0</v>
      </c>
      <c r="I153" s="4">
        <f t="shared" si="38"/>
        <v>100</v>
      </c>
      <c r="J153" s="4">
        <f t="shared" si="39"/>
        <v>3</v>
      </c>
    </row>
    <row r="154" spans="1:10">
      <c r="A154" s="4" t="s">
        <v>257</v>
      </c>
      <c r="B154" s="4" t="s">
        <v>49</v>
      </c>
      <c r="C154" s="4" t="s">
        <v>832</v>
      </c>
      <c r="D154" s="4">
        <f t="shared" si="46"/>
        <v>0</v>
      </c>
      <c r="E154" s="4">
        <f t="shared" si="46"/>
        <v>0</v>
      </c>
      <c r="F154" s="4">
        <v>2</v>
      </c>
      <c r="G154" s="4">
        <f t="shared" si="41"/>
        <v>0</v>
      </c>
      <c r="H154" s="4">
        <f t="shared" si="37"/>
        <v>0</v>
      </c>
      <c r="I154" s="4">
        <f t="shared" si="38"/>
        <v>100</v>
      </c>
      <c r="J154" s="4">
        <f t="shared" si="39"/>
        <v>2</v>
      </c>
    </row>
    <row r="155" spans="1:10">
      <c r="A155" s="4" t="s">
        <v>258</v>
      </c>
      <c r="B155" s="4" t="s">
        <v>49</v>
      </c>
      <c r="C155" s="4" t="s">
        <v>832</v>
      </c>
      <c r="D155" s="4">
        <f t="shared" si="46"/>
        <v>0</v>
      </c>
      <c r="E155" s="4">
        <f t="shared" si="46"/>
        <v>0</v>
      </c>
      <c r="F155" s="4">
        <v>3</v>
      </c>
      <c r="G155" s="4">
        <f t="shared" si="41"/>
        <v>0</v>
      </c>
      <c r="H155" s="4">
        <f t="shared" si="37"/>
        <v>0</v>
      </c>
      <c r="I155" s="4">
        <f t="shared" si="38"/>
        <v>100</v>
      </c>
      <c r="J155" s="4">
        <f t="shared" si="39"/>
        <v>3</v>
      </c>
    </row>
    <row r="156" spans="1:10">
      <c r="A156" s="4" t="s">
        <v>259</v>
      </c>
      <c r="B156" s="4" t="s">
        <v>49</v>
      </c>
      <c r="C156" s="4" t="s">
        <v>832</v>
      </c>
      <c r="D156" s="4">
        <f t="shared" si="46"/>
        <v>0</v>
      </c>
      <c r="E156" s="4">
        <f t="shared" si="46"/>
        <v>0</v>
      </c>
      <c r="F156" s="4">
        <v>2</v>
      </c>
      <c r="G156" s="4">
        <f t="shared" si="41"/>
        <v>0</v>
      </c>
      <c r="H156" s="4">
        <f t="shared" si="37"/>
        <v>0</v>
      </c>
      <c r="I156" s="4">
        <f t="shared" si="38"/>
        <v>100</v>
      </c>
      <c r="J156" s="4">
        <f t="shared" si="39"/>
        <v>2</v>
      </c>
    </row>
    <row r="157" spans="1:10">
      <c r="A157" s="4" t="s">
        <v>260</v>
      </c>
      <c r="B157" s="4" t="s">
        <v>49</v>
      </c>
      <c r="C157" s="4" t="s">
        <v>832</v>
      </c>
      <c r="D157" s="4">
        <f t="shared" si="46"/>
        <v>0</v>
      </c>
      <c r="E157" s="4">
        <f t="shared" si="46"/>
        <v>0</v>
      </c>
      <c r="F157" s="4">
        <v>2</v>
      </c>
      <c r="G157" s="4">
        <f t="shared" si="41"/>
        <v>0</v>
      </c>
      <c r="H157" s="4">
        <f t="shared" si="37"/>
        <v>0</v>
      </c>
      <c r="I157" s="4">
        <f t="shared" si="38"/>
        <v>100</v>
      </c>
      <c r="J157" s="4">
        <f t="shared" si="39"/>
        <v>2</v>
      </c>
    </row>
    <row r="158" spans="1:10">
      <c r="A158" s="4" t="s">
        <v>261</v>
      </c>
      <c r="B158" s="4" t="s">
        <v>49</v>
      </c>
      <c r="C158" s="4" t="s">
        <v>832</v>
      </c>
      <c r="D158" s="4">
        <f t="shared" si="46"/>
        <v>0</v>
      </c>
      <c r="E158" s="4">
        <f t="shared" si="46"/>
        <v>0</v>
      </c>
      <c r="F158" s="4">
        <v>1</v>
      </c>
      <c r="G158" s="4">
        <f t="shared" si="41"/>
        <v>0</v>
      </c>
      <c r="H158" s="4">
        <f t="shared" si="37"/>
        <v>0</v>
      </c>
      <c r="I158" s="4">
        <f t="shared" si="38"/>
        <v>100</v>
      </c>
      <c r="J158" s="4">
        <f t="shared" si="39"/>
        <v>1</v>
      </c>
    </row>
    <row r="159" spans="1:10">
      <c r="A159" s="4" t="s">
        <v>262</v>
      </c>
      <c r="B159" s="4" t="s">
        <v>49</v>
      </c>
      <c r="C159" s="4" t="s">
        <v>832</v>
      </c>
      <c r="D159" s="4">
        <f t="shared" si="46"/>
        <v>0</v>
      </c>
      <c r="E159" s="4">
        <f t="shared" si="46"/>
        <v>0</v>
      </c>
      <c r="F159" s="4">
        <v>2</v>
      </c>
      <c r="G159" s="4">
        <f t="shared" si="41"/>
        <v>0</v>
      </c>
      <c r="H159" s="4">
        <f t="shared" si="37"/>
        <v>0</v>
      </c>
      <c r="I159" s="4">
        <f t="shared" si="38"/>
        <v>100</v>
      </c>
      <c r="J159" s="4">
        <f t="shared" si="39"/>
        <v>2</v>
      </c>
    </row>
    <row r="160" spans="1:10">
      <c r="A160" s="4" t="s">
        <v>263</v>
      </c>
      <c r="B160" s="4" t="s">
        <v>49</v>
      </c>
      <c r="C160" s="4" t="s">
        <v>832</v>
      </c>
      <c r="D160" s="4">
        <f t="shared" si="46"/>
        <v>0</v>
      </c>
      <c r="E160" s="4">
        <f t="shared" si="46"/>
        <v>0</v>
      </c>
      <c r="F160" s="4">
        <v>3</v>
      </c>
      <c r="G160" s="4">
        <f t="shared" si="41"/>
        <v>0</v>
      </c>
      <c r="H160" s="4">
        <f t="shared" si="37"/>
        <v>0</v>
      </c>
      <c r="I160" s="4">
        <f t="shared" si="38"/>
        <v>100</v>
      </c>
      <c r="J160" s="4">
        <f t="shared" si="39"/>
        <v>3</v>
      </c>
    </row>
    <row r="161" spans="1:10">
      <c r="A161" s="4" t="s">
        <v>264</v>
      </c>
      <c r="B161" s="4" t="s">
        <v>49</v>
      </c>
      <c r="C161" s="4" t="s">
        <v>832</v>
      </c>
      <c r="D161" s="4">
        <f t="shared" si="46"/>
        <v>0</v>
      </c>
      <c r="E161" s="4">
        <f t="shared" si="46"/>
        <v>0</v>
      </c>
      <c r="F161" s="4">
        <v>2</v>
      </c>
      <c r="G161" s="4">
        <f t="shared" si="41"/>
        <v>0</v>
      </c>
      <c r="H161" s="4">
        <f t="shared" si="37"/>
        <v>0</v>
      </c>
      <c r="I161" s="4">
        <f t="shared" si="38"/>
        <v>100</v>
      </c>
      <c r="J161" s="4">
        <f t="shared" si="39"/>
        <v>2</v>
      </c>
    </row>
    <row r="162" spans="1:10">
      <c r="A162" s="4" t="s">
        <v>265</v>
      </c>
      <c r="B162" s="4" t="s">
        <v>49</v>
      </c>
      <c r="C162" s="4" t="s">
        <v>832</v>
      </c>
      <c r="D162" s="4">
        <f t="shared" si="46"/>
        <v>0</v>
      </c>
      <c r="E162" s="4">
        <f t="shared" si="46"/>
        <v>0</v>
      </c>
      <c r="F162" s="4">
        <v>3</v>
      </c>
      <c r="G162" s="4">
        <f t="shared" si="41"/>
        <v>0</v>
      </c>
      <c r="H162" s="4">
        <f t="shared" si="37"/>
        <v>0</v>
      </c>
      <c r="I162" s="4">
        <f t="shared" si="38"/>
        <v>100</v>
      </c>
      <c r="J162" s="4">
        <f t="shared" si="39"/>
        <v>3</v>
      </c>
    </row>
    <row r="163" spans="1:10">
      <c r="A163" s="4" t="s">
        <v>266</v>
      </c>
      <c r="B163" s="4" t="s">
        <v>49</v>
      </c>
      <c r="C163" s="4" t="s">
        <v>832</v>
      </c>
      <c r="D163" s="4">
        <f t="shared" si="46"/>
        <v>0</v>
      </c>
      <c r="E163" s="4">
        <f t="shared" si="46"/>
        <v>0</v>
      </c>
      <c r="F163" s="4">
        <v>3</v>
      </c>
      <c r="G163" s="4">
        <f t="shared" si="41"/>
        <v>0</v>
      </c>
      <c r="H163" s="4">
        <f t="shared" si="37"/>
        <v>0</v>
      </c>
      <c r="I163" s="4">
        <f t="shared" si="38"/>
        <v>100</v>
      </c>
      <c r="J163" s="4">
        <f t="shared" si="39"/>
        <v>3</v>
      </c>
    </row>
    <row r="164" spans="1:10">
      <c r="A164" s="6" t="s">
        <v>498</v>
      </c>
      <c r="F164" s="3" t="s">
        <v>22</v>
      </c>
      <c r="G164" s="5">
        <f>AVERAGE(G115:G163,G111,G107)</f>
        <v>0</v>
      </c>
      <c r="H164" s="5">
        <f t="shared" ref="H164" si="47">AVERAGE(H115:H163,H111,H107)</f>
        <v>0</v>
      </c>
      <c r="I164" s="5">
        <f>AVERAGE(I115:I163,I111,I107)</f>
        <v>100</v>
      </c>
      <c r="J164" s="2" t="s">
        <v>492</v>
      </c>
    </row>
    <row r="165" spans="1:10">
      <c r="F165" s="9" t="s">
        <v>570</v>
      </c>
      <c r="G165" s="5">
        <f>STDEV(G115:G163,G111,G107)</f>
        <v>0</v>
      </c>
      <c r="H165" s="5">
        <f t="shared" ref="H165:I165" si="48">STDEV(H115:H163,H111,H107)</f>
        <v>0</v>
      </c>
      <c r="I165" s="5">
        <f t="shared" si="48"/>
        <v>0</v>
      </c>
      <c r="J165" s="1">
        <f>SUM(J115:J163,J111,J107)</f>
        <v>122</v>
      </c>
    </row>
    <row r="168" spans="1:10">
      <c r="A168" s="7"/>
      <c r="B168" s="11" t="s">
        <v>717</v>
      </c>
      <c r="C168" s="11"/>
      <c r="D168" s="11"/>
    </row>
    <row r="169" spans="1:10">
      <c r="A169" s="7"/>
      <c r="B169" s="2" t="s">
        <v>576</v>
      </c>
      <c r="C169" s="2" t="s">
        <v>577</v>
      </c>
      <c r="D169" s="2" t="s">
        <v>578</v>
      </c>
    </row>
    <row r="170" spans="1:10">
      <c r="A170" s="2" t="s">
        <v>864</v>
      </c>
      <c r="B170" s="1">
        <v>8.0000000000000004E-4</v>
      </c>
      <c r="C170" s="1" t="s">
        <v>734</v>
      </c>
      <c r="D170" s="1" t="s">
        <v>734</v>
      </c>
    </row>
    <row r="171" spans="1:10">
      <c r="A171" s="2" t="s">
        <v>865</v>
      </c>
      <c r="B171" s="1">
        <v>2.0000000000000001E-4</v>
      </c>
      <c r="C171" s="1" t="s">
        <v>734</v>
      </c>
      <c r="D171" s="1" t="s">
        <v>734</v>
      </c>
    </row>
    <row r="172" spans="1:10">
      <c r="A172" s="10" t="s">
        <v>866</v>
      </c>
      <c r="B172" s="1">
        <v>0.17660000000000001</v>
      </c>
      <c r="C172" s="1">
        <v>8.0000000000000004E-4</v>
      </c>
      <c r="D172" s="1">
        <v>8.0000000000000004E-4</v>
      </c>
    </row>
    <row r="173" spans="1:10">
      <c r="A173" s="2" t="s">
        <v>860</v>
      </c>
      <c r="B173" s="1" t="s">
        <v>725</v>
      </c>
      <c r="C173" s="1" t="s">
        <v>725</v>
      </c>
      <c r="D173" s="1">
        <v>2.0000000000000001E-4</v>
      </c>
    </row>
    <row r="174" spans="1:10">
      <c r="A174" s="2" t="s">
        <v>861</v>
      </c>
      <c r="B174" s="1" t="s">
        <v>725</v>
      </c>
      <c r="C174" s="1" t="s">
        <v>725</v>
      </c>
      <c r="D174" s="1" t="s">
        <v>734</v>
      </c>
    </row>
    <row r="175" spans="1:10">
      <c r="A175" s="2" t="s">
        <v>862</v>
      </c>
      <c r="B175" s="1" t="s">
        <v>725</v>
      </c>
      <c r="C175" s="1" t="s">
        <v>725</v>
      </c>
      <c r="D175" s="1" t="s">
        <v>734</v>
      </c>
    </row>
    <row r="176" spans="1:10">
      <c r="A176" s="2" t="s">
        <v>863</v>
      </c>
      <c r="B176" s="1" t="s">
        <v>725</v>
      </c>
      <c r="C176" s="1" t="s">
        <v>725</v>
      </c>
      <c r="D176" s="1">
        <v>2.6499999999999999E-2</v>
      </c>
    </row>
  </sheetData>
  <mergeCells count="1">
    <mergeCell ref="B168:D16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050F7-AB13-9343-80BA-399CB0C17EC5}">
  <dimension ref="A1:J126"/>
  <sheetViews>
    <sheetView topLeftCell="C1" workbookViewId="0">
      <pane ySplit="1" topLeftCell="A2" activePane="bottomLeft" state="frozen"/>
      <selection pane="bottomLeft" activeCell="J8" sqref="J8"/>
    </sheetView>
  </sheetViews>
  <sheetFormatPr baseColWidth="10" defaultRowHeight="16"/>
  <cols>
    <col min="1" max="1" width="53.5" style="18" bestFit="1" customWidth="1"/>
    <col min="2" max="2" width="19.33203125" style="18" bestFit="1" customWidth="1"/>
    <col min="3" max="3" width="31.33203125" style="18" bestFit="1" customWidth="1"/>
    <col min="4" max="5" width="25.5" style="18" bestFit="1" customWidth="1"/>
    <col min="6" max="6" width="20.5" style="18" bestFit="1" customWidth="1"/>
    <col min="7" max="8" width="20.33203125" style="18" bestFit="1" customWidth="1"/>
    <col min="9" max="9" width="15.33203125" style="18" bestFit="1" customWidth="1"/>
    <col min="10" max="10" width="19" style="18" bestFit="1" customWidth="1"/>
    <col min="11" max="16384" width="10.83203125" style="18"/>
  </cols>
  <sheetData>
    <row r="1" spans="1:10">
      <c r="A1" s="12" t="s">
        <v>0</v>
      </c>
      <c r="B1" s="37" t="s">
        <v>25</v>
      </c>
      <c r="C1" s="38" t="s">
        <v>26</v>
      </c>
      <c r="D1" s="12" t="s">
        <v>573</v>
      </c>
      <c r="E1" s="12" t="s">
        <v>574</v>
      </c>
      <c r="F1" s="12" t="s">
        <v>575</v>
      </c>
      <c r="G1" s="13" t="s">
        <v>576</v>
      </c>
      <c r="H1" s="13" t="s">
        <v>577</v>
      </c>
      <c r="I1" s="13" t="s">
        <v>578</v>
      </c>
      <c r="J1" s="39" t="s">
        <v>491</v>
      </c>
    </row>
    <row r="2" spans="1:10">
      <c r="A2" s="17" t="s">
        <v>267</v>
      </c>
      <c r="B2" s="17" t="s">
        <v>490</v>
      </c>
      <c r="C2" s="17" t="s">
        <v>876</v>
      </c>
      <c r="D2" s="17">
        <v>0</v>
      </c>
      <c r="E2" s="17">
        <v>64</v>
      </c>
      <c r="F2" s="17">
        <v>10</v>
      </c>
      <c r="G2" s="17">
        <f>D2/SUM(D2:F2)*100</f>
        <v>0</v>
      </c>
      <c r="H2" s="17">
        <f>E2/SUM(D2:F2)*100</f>
        <v>86.486486486486484</v>
      </c>
      <c r="I2" s="17">
        <f>F2/SUM(D2:F2)*100</f>
        <v>13.513513513513514</v>
      </c>
      <c r="J2" s="17">
        <f>SUM(D2:F2)</f>
        <v>74</v>
      </c>
    </row>
    <row r="3" spans="1:10">
      <c r="A3" s="17" t="s">
        <v>268</v>
      </c>
      <c r="B3" s="17" t="s">
        <v>490</v>
      </c>
      <c r="C3" s="17" t="s">
        <v>876</v>
      </c>
      <c r="D3" s="17">
        <v>0</v>
      </c>
      <c r="E3" s="17">
        <v>71</v>
      </c>
      <c r="F3" s="17">
        <v>8</v>
      </c>
      <c r="G3" s="17">
        <f t="shared" ref="G3:G5" si="0">D3/SUM(D3:F3)*100</f>
        <v>0</v>
      </c>
      <c r="H3" s="17">
        <f t="shared" ref="H3:H5" si="1">E3/SUM(D3:F3)*100</f>
        <v>89.87341772151899</v>
      </c>
      <c r="I3" s="17">
        <f t="shared" ref="I3:I5" si="2">F3/SUM(D3:F3)*100</f>
        <v>10.126582278481013</v>
      </c>
      <c r="J3" s="17">
        <f t="shared" ref="J3:J5" si="3">SUM(D3:F3)</f>
        <v>79</v>
      </c>
    </row>
    <row r="4" spans="1:10">
      <c r="A4" s="17" t="s">
        <v>269</v>
      </c>
      <c r="B4" s="17" t="s">
        <v>490</v>
      </c>
      <c r="C4" s="17" t="s">
        <v>876</v>
      </c>
      <c r="D4" s="17">
        <v>0</v>
      </c>
      <c r="E4" s="17">
        <v>102</v>
      </c>
      <c r="F4" s="17">
        <v>4</v>
      </c>
      <c r="G4" s="17">
        <f t="shared" si="0"/>
        <v>0</v>
      </c>
      <c r="H4" s="17">
        <f t="shared" si="1"/>
        <v>96.226415094339629</v>
      </c>
      <c r="I4" s="17">
        <f t="shared" si="2"/>
        <v>3.7735849056603774</v>
      </c>
      <c r="J4" s="17">
        <f t="shared" si="3"/>
        <v>106</v>
      </c>
    </row>
    <row r="5" spans="1:10">
      <c r="A5" s="17" t="s">
        <v>270</v>
      </c>
      <c r="B5" s="17" t="s">
        <v>490</v>
      </c>
      <c r="C5" s="17" t="s">
        <v>876</v>
      </c>
      <c r="D5" s="17">
        <v>0</v>
      </c>
      <c r="E5" s="17">
        <f>61-5</f>
        <v>56</v>
      </c>
      <c r="F5" s="17">
        <v>5</v>
      </c>
      <c r="G5" s="17">
        <f t="shared" si="0"/>
        <v>0</v>
      </c>
      <c r="H5" s="17">
        <f t="shared" si="1"/>
        <v>91.803278688524586</v>
      </c>
      <c r="I5" s="17">
        <f t="shared" si="2"/>
        <v>8.1967213114754092</v>
      </c>
      <c r="J5" s="17">
        <f t="shared" si="3"/>
        <v>61</v>
      </c>
    </row>
    <row r="6" spans="1:10">
      <c r="A6" s="16" t="s">
        <v>271</v>
      </c>
      <c r="F6" s="19" t="s">
        <v>22</v>
      </c>
      <c r="G6" s="20">
        <f>AVERAGE(G2:G5)</f>
        <v>0</v>
      </c>
      <c r="H6" s="20">
        <f t="shared" ref="H6:I6" si="4">AVERAGE(H2:H5)</f>
        <v>91.097399497717419</v>
      </c>
      <c r="I6" s="20">
        <f t="shared" si="4"/>
        <v>8.9026005022825778</v>
      </c>
      <c r="J6" s="21" t="s">
        <v>492</v>
      </c>
    </row>
    <row r="7" spans="1:10">
      <c r="F7" s="32" t="s">
        <v>570</v>
      </c>
      <c r="G7" s="29">
        <f>STDEV(G2:G5)</f>
        <v>0</v>
      </c>
      <c r="H7" s="29">
        <f t="shared" ref="H7:I7" si="5">STDEV(H2:H5)</f>
        <v>4.0646326856602535</v>
      </c>
      <c r="I7" s="29">
        <f t="shared" si="5"/>
        <v>4.0646326856602544</v>
      </c>
      <c r="J7" s="15">
        <f>SUM(J2:J5)</f>
        <v>320</v>
      </c>
    </row>
    <row r="8" spans="1:10">
      <c r="F8" s="30"/>
    </row>
    <row r="10" spans="1:10">
      <c r="A10" s="17" t="s">
        <v>318</v>
      </c>
      <c r="B10" s="17" t="s">
        <v>24</v>
      </c>
      <c r="C10" s="17" t="s">
        <v>876</v>
      </c>
      <c r="D10" s="17">
        <v>1</v>
      </c>
      <c r="E10" s="17">
        <v>35</v>
      </c>
      <c r="F10" s="17">
        <v>10</v>
      </c>
      <c r="G10" s="17">
        <f t="shared" ref="G10:G17" si="6">D10/SUM(D10:F10)*100</f>
        <v>2.1739130434782608</v>
      </c>
      <c r="H10" s="17">
        <f t="shared" ref="H10:H17" si="7">E10/SUM(D10:F10)*100</f>
        <v>76.08695652173914</v>
      </c>
      <c r="I10" s="17">
        <f t="shared" ref="I10:I17" si="8">F10/SUM(D10:F10)*100</f>
        <v>21.739130434782609</v>
      </c>
      <c r="J10" s="17">
        <f t="shared" ref="J10:J17" si="9">SUM(D10:F10)</f>
        <v>46</v>
      </c>
    </row>
    <row r="11" spans="1:10">
      <c r="A11" s="17" t="s">
        <v>319</v>
      </c>
      <c r="B11" s="17" t="s">
        <v>24</v>
      </c>
      <c r="C11" s="17" t="s">
        <v>876</v>
      </c>
      <c r="D11" s="17">
        <v>0</v>
      </c>
      <c r="E11" s="17">
        <f>38-9</f>
        <v>29</v>
      </c>
      <c r="F11" s="17">
        <v>9</v>
      </c>
      <c r="G11" s="17">
        <f t="shared" si="6"/>
        <v>0</v>
      </c>
      <c r="H11" s="17">
        <f t="shared" si="7"/>
        <v>76.31578947368422</v>
      </c>
      <c r="I11" s="17">
        <f t="shared" si="8"/>
        <v>23.684210526315788</v>
      </c>
      <c r="J11" s="17">
        <f t="shared" si="9"/>
        <v>38</v>
      </c>
    </row>
    <row r="12" spans="1:10">
      <c r="A12" s="17" t="s">
        <v>320</v>
      </c>
      <c r="B12" s="17" t="s">
        <v>24</v>
      </c>
      <c r="C12" s="17" t="s">
        <v>876</v>
      </c>
      <c r="D12" s="17">
        <v>0</v>
      </c>
      <c r="E12" s="17">
        <v>31</v>
      </c>
      <c r="F12" s="17">
        <v>5</v>
      </c>
      <c r="G12" s="17">
        <f t="shared" si="6"/>
        <v>0</v>
      </c>
      <c r="H12" s="17">
        <f t="shared" si="7"/>
        <v>86.111111111111114</v>
      </c>
      <c r="I12" s="17">
        <f t="shared" si="8"/>
        <v>13.888888888888889</v>
      </c>
      <c r="J12" s="17">
        <f t="shared" si="9"/>
        <v>36</v>
      </c>
    </row>
    <row r="13" spans="1:10">
      <c r="A13" s="17" t="s">
        <v>321</v>
      </c>
      <c r="B13" s="17" t="s">
        <v>24</v>
      </c>
      <c r="C13" s="17" t="s">
        <v>876</v>
      </c>
      <c r="D13" s="17">
        <v>0</v>
      </c>
      <c r="E13" s="17">
        <v>46</v>
      </c>
      <c r="F13" s="17">
        <v>3</v>
      </c>
      <c r="G13" s="17">
        <f t="shared" si="6"/>
        <v>0</v>
      </c>
      <c r="H13" s="17">
        <f t="shared" si="7"/>
        <v>93.877551020408163</v>
      </c>
      <c r="I13" s="17">
        <f t="shared" si="8"/>
        <v>6.1224489795918364</v>
      </c>
      <c r="J13" s="17">
        <f t="shared" si="9"/>
        <v>49</v>
      </c>
    </row>
    <row r="14" spans="1:10">
      <c r="A14" s="17" t="s">
        <v>322</v>
      </c>
      <c r="B14" s="17" t="s">
        <v>24</v>
      </c>
      <c r="C14" s="17" t="s">
        <v>876</v>
      </c>
      <c r="D14" s="17">
        <v>1</v>
      </c>
      <c r="E14" s="17">
        <f>52-7</f>
        <v>45</v>
      </c>
      <c r="F14" s="17">
        <v>7</v>
      </c>
      <c r="G14" s="17">
        <f t="shared" si="6"/>
        <v>1.8867924528301887</v>
      </c>
      <c r="H14" s="17">
        <f t="shared" si="7"/>
        <v>84.905660377358487</v>
      </c>
      <c r="I14" s="17">
        <f t="shared" si="8"/>
        <v>13.20754716981132</v>
      </c>
      <c r="J14" s="17">
        <f t="shared" si="9"/>
        <v>53</v>
      </c>
    </row>
    <row r="15" spans="1:10">
      <c r="A15" s="17" t="s">
        <v>323</v>
      </c>
      <c r="B15" s="17" t="s">
        <v>24</v>
      </c>
      <c r="C15" s="17" t="s">
        <v>876</v>
      </c>
      <c r="D15" s="17">
        <v>2</v>
      </c>
      <c r="E15" s="17">
        <f>74-26</f>
        <v>48</v>
      </c>
      <c r="F15" s="17">
        <v>26</v>
      </c>
      <c r="G15" s="17">
        <f t="shared" si="6"/>
        <v>2.6315789473684208</v>
      </c>
      <c r="H15" s="17">
        <f t="shared" si="7"/>
        <v>63.157894736842103</v>
      </c>
      <c r="I15" s="17">
        <f t="shared" si="8"/>
        <v>34.210526315789473</v>
      </c>
      <c r="J15" s="17">
        <f t="shared" si="9"/>
        <v>76</v>
      </c>
    </row>
    <row r="16" spans="1:10">
      <c r="A16" s="17" t="s">
        <v>324</v>
      </c>
      <c r="B16" s="17" t="s">
        <v>24</v>
      </c>
      <c r="C16" s="17" t="s">
        <v>876</v>
      </c>
      <c r="D16" s="17">
        <v>0</v>
      </c>
      <c r="E16" s="17">
        <v>33</v>
      </c>
      <c r="F16" s="17">
        <v>4</v>
      </c>
      <c r="G16" s="17">
        <f t="shared" si="6"/>
        <v>0</v>
      </c>
      <c r="H16" s="17">
        <f t="shared" si="7"/>
        <v>89.189189189189193</v>
      </c>
      <c r="I16" s="17">
        <f t="shared" si="8"/>
        <v>10.810810810810811</v>
      </c>
      <c r="J16" s="17">
        <f t="shared" si="9"/>
        <v>37</v>
      </c>
    </row>
    <row r="17" spans="1:10">
      <c r="A17" s="17" t="s">
        <v>325</v>
      </c>
      <c r="B17" s="17" t="s">
        <v>24</v>
      </c>
      <c r="C17" s="17" t="s">
        <v>876</v>
      </c>
      <c r="D17" s="17">
        <v>0</v>
      </c>
      <c r="E17" s="17">
        <v>34</v>
      </c>
      <c r="F17" s="17">
        <v>4</v>
      </c>
      <c r="G17" s="17">
        <f t="shared" si="6"/>
        <v>0</v>
      </c>
      <c r="H17" s="17">
        <f t="shared" si="7"/>
        <v>89.473684210526315</v>
      </c>
      <c r="I17" s="17">
        <f t="shared" si="8"/>
        <v>10.526315789473683</v>
      </c>
      <c r="J17" s="17">
        <f t="shared" si="9"/>
        <v>38</v>
      </c>
    </row>
    <row r="18" spans="1:10">
      <c r="A18" s="16" t="s">
        <v>326</v>
      </c>
      <c r="F18" s="19" t="s">
        <v>22</v>
      </c>
      <c r="G18" s="20">
        <f>AVERAGE(G10:G17)</f>
        <v>0.83653555545960878</v>
      </c>
      <c r="H18" s="20">
        <f>AVERAGE(H10:H17)</f>
        <v>82.389729580107343</v>
      </c>
      <c r="I18" s="20">
        <f>AVERAGE(I10:I17)</f>
        <v>16.773734864433049</v>
      </c>
      <c r="J18" s="21" t="s">
        <v>492</v>
      </c>
    </row>
    <row r="19" spans="1:10">
      <c r="F19" s="32" t="s">
        <v>570</v>
      </c>
      <c r="G19" s="29">
        <f>STDEV(G10:G17)</f>
        <v>1.1718579602195598</v>
      </c>
      <c r="H19" s="29">
        <f>STDEV(H10:H17)</f>
        <v>9.964543298127408</v>
      </c>
      <c r="I19" s="29">
        <f>STDEV(I10:I17)</f>
        <v>9.1458667753374705</v>
      </c>
      <c r="J19" s="15">
        <f>SUM(J10:J17)</f>
        <v>373</v>
      </c>
    </row>
    <row r="20" spans="1:10">
      <c r="F20" s="30"/>
    </row>
    <row r="22" spans="1:10">
      <c r="A22" s="15" t="s">
        <v>345</v>
      </c>
      <c r="B22" s="58" t="s">
        <v>736</v>
      </c>
      <c r="C22" s="15" t="s">
        <v>876</v>
      </c>
      <c r="D22" s="15">
        <v>0</v>
      </c>
      <c r="E22" s="15">
        <v>10</v>
      </c>
      <c r="F22" s="15">
        <v>0</v>
      </c>
      <c r="G22" s="15"/>
      <c r="H22" s="15"/>
      <c r="I22" s="15"/>
      <c r="J22" s="15"/>
    </row>
    <row r="23" spans="1:10">
      <c r="A23" s="15" t="s">
        <v>346</v>
      </c>
      <c r="B23" s="59" t="s">
        <v>736</v>
      </c>
      <c r="C23" s="15" t="s">
        <v>876</v>
      </c>
      <c r="D23" s="15">
        <v>0</v>
      </c>
      <c r="E23" s="15">
        <v>13</v>
      </c>
      <c r="F23" s="15">
        <v>0</v>
      </c>
      <c r="G23" s="15"/>
      <c r="H23" s="15"/>
      <c r="I23" s="15"/>
      <c r="J23" s="15"/>
    </row>
    <row r="24" spans="1:10">
      <c r="A24" s="17" t="s">
        <v>347</v>
      </c>
      <c r="B24" s="60" t="s">
        <v>736</v>
      </c>
      <c r="C24" s="17" t="s">
        <v>876</v>
      </c>
      <c r="D24" s="17">
        <f>SUM(D22:D23)</f>
        <v>0</v>
      </c>
      <c r="E24" s="17">
        <f>SUM(E22:E23)</f>
        <v>23</v>
      </c>
      <c r="F24" s="17">
        <f>SUM(F22:F23)</f>
        <v>0</v>
      </c>
      <c r="G24" s="17">
        <f>D24/SUM(D24:F24)*100</f>
        <v>0</v>
      </c>
      <c r="H24" s="17">
        <f>E24/SUM(D24:F24)*100</f>
        <v>100</v>
      </c>
      <c r="I24" s="17">
        <f>F24/SUM(D24:F24)*100</f>
        <v>0</v>
      </c>
      <c r="J24" s="17">
        <f>SUM(D24:F24)</f>
        <v>23</v>
      </c>
    </row>
    <row r="25" spans="1:10">
      <c r="A25" s="15" t="s">
        <v>348</v>
      </c>
      <c r="B25" s="58" t="s">
        <v>736</v>
      </c>
      <c r="C25" s="15" t="s">
        <v>876</v>
      </c>
      <c r="D25" s="15">
        <v>0</v>
      </c>
      <c r="E25" s="15">
        <v>11</v>
      </c>
      <c r="F25" s="15">
        <v>4</v>
      </c>
      <c r="G25" s="15"/>
      <c r="H25" s="15"/>
      <c r="I25" s="15"/>
      <c r="J25" s="15"/>
    </row>
    <row r="26" spans="1:10">
      <c r="A26" s="15" t="s">
        <v>349</v>
      </c>
      <c r="B26" s="59" t="s">
        <v>736</v>
      </c>
      <c r="C26" s="15" t="s">
        <v>876</v>
      </c>
      <c r="D26" s="15">
        <v>0</v>
      </c>
      <c r="E26" s="15">
        <v>14</v>
      </c>
      <c r="F26" s="15">
        <v>4</v>
      </c>
      <c r="G26" s="15"/>
      <c r="H26" s="15"/>
      <c r="I26" s="15"/>
      <c r="J26" s="15"/>
    </row>
    <row r="27" spans="1:10">
      <c r="A27" s="17" t="s">
        <v>350</v>
      </c>
      <c r="B27" s="60" t="s">
        <v>736</v>
      </c>
      <c r="C27" s="17" t="s">
        <v>876</v>
      </c>
      <c r="D27" s="17">
        <f>SUM(D25:D26)</f>
        <v>0</v>
      </c>
      <c r="E27" s="17">
        <f>SUM(E25:E26)</f>
        <v>25</v>
      </c>
      <c r="F27" s="17">
        <f>SUM(F25:F26)</f>
        <v>8</v>
      </c>
      <c r="G27" s="17">
        <f>D27/SUM(D27:F27)*100</f>
        <v>0</v>
      </c>
      <c r="H27" s="17">
        <f>E27/SUM(D27:F27)*100</f>
        <v>75.757575757575751</v>
      </c>
      <c r="I27" s="17">
        <f>F27/SUM(D27:F27)*100</f>
        <v>24.242424242424242</v>
      </c>
      <c r="J27" s="17">
        <f>SUM(D27:F27)</f>
        <v>33</v>
      </c>
    </row>
    <row r="28" spans="1:10">
      <c r="A28" s="15" t="s">
        <v>351</v>
      </c>
      <c r="B28" s="58" t="s">
        <v>736</v>
      </c>
      <c r="C28" s="15" t="s">
        <v>876</v>
      </c>
      <c r="D28" s="15">
        <v>0</v>
      </c>
      <c r="E28" s="15">
        <v>17</v>
      </c>
      <c r="F28" s="15">
        <v>0</v>
      </c>
      <c r="G28" s="15"/>
      <c r="H28" s="15"/>
      <c r="I28" s="15"/>
      <c r="J28" s="15"/>
    </row>
    <row r="29" spans="1:10">
      <c r="A29" s="15" t="s">
        <v>352</v>
      </c>
      <c r="B29" s="59" t="s">
        <v>736</v>
      </c>
      <c r="C29" s="15" t="s">
        <v>876</v>
      </c>
      <c r="D29" s="15">
        <v>0</v>
      </c>
      <c r="E29" s="15">
        <v>15</v>
      </c>
      <c r="F29" s="15">
        <v>0</v>
      </c>
      <c r="G29" s="15"/>
      <c r="H29" s="15"/>
      <c r="I29" s="15"/>
      <c r="J29" s="15"/>
    </row>
    <row r="30" spans="1:10">
      <c r="A30" s="17" t="s">
        <v>353</v>
      </c>
      <c r="B30" s="60" t="s">
        <v>736</v>
      </c>
      <c r="C30" s="17" t="s">
        <v>876</v>
      </c>
      <c r="D30" s="17">
        <f>SUM(D28:D29)</f>
        <v>0</v>
      </c>
      <c r="E30" s="17">
        <f>SUM(E28:E29)</f>
        <v>32</v>
      </c>
      <c r="F30" s="17">
        <f>SUM(F28:F29)</f>
        <v>0</v>
      </c>
      <c r="G30" s="17">
        <f>D30/SUM(D30:F30)*100</f>
        <v>0</v>
      </c>
      <c r="H30" s="17">
        <f>E30/SUM(D30:F30)*100</f>
        <v>100</v>
      </c>
      <c r="I30" s="17">
        <f>F30/SUM(D30:F30)*100</f>
        <v>0</v>
      </c>
      <c r="J30" s="17">
        <f>SUM(D30:F30)</f>
        <v>32</v>
      </c>
    </row>
    <row r="31" spans="1:10">
      <c r="A31" s="15" t="s">
        <v>354</v>
      </c>
      <c r="B31" s="58" t="s">
        <v>736</v>
      </c>
      <c r="C31" s="15" t="s">
        <v>876</v>
      </c>
      <c r="D31" s="15">
        <v>0</v>
      </c>
      <c r="E31" s="15">
        <v>18</v>
      </c>
      <c r="F31" s="15">
        <v>1</v>
      </c>
      <c r="G31" s="15"/>
      <c r="H31" s="15"/>
      <c r="I31" s="15"/>
      <c r="J31" s="15"/>
    </row>
    <row r="32" spans="1:10">
      <c r="A32" s="15" t="s">
        <v>355</v>
      </c>
      <c r="B32" s="59" t="s">
        <v>736</v>
      </c>
      <c r="C32" s="15" t="s">
        <v>876</v>
      </c>
      <c r="D32" s="15">
        <v>0</v>
      </c>
      <c r="E32" s="15">
        <v>12</v>
      </c>
      <c r="F32" s="15">
        <v>0</v>
      </c>
      <c r="G32" s="15"/>
      <c r="H32" s="15"/>
      <c r="I32" s="15"/>
      <c r="J32" s="15"/>
    </row>
    <row r="33" spans="1:10">
      <c r="A33" s="17" t="s">
        <v>356</v>
      </c>
      <c r="B33" s="60" t="s">
        <v>736</v>
      </c>
      <c r="C33" s="17" t="s">
        <v>876</v>
      </c>
      <c r="D33" s="17">
        <f>SUM(D31:D32)</f>
        <v>0</v>
      </c>
      <c r="E33" s="17">
        <f>SUM(E31:E32)</f>
        <v>30</v>
      </c>
      <c r="F33" s="17">
        <f>SUM(F31:F32)</f>
        <v>1</v>
      </c>
      <c r="G33" s="17">
        <f>D33/SUM(D33:F33)*100</f>
        <v>0</v>
      </c>
      <c r="H33" s="17">
        <f>E33/SUM(D33:F33)*100</f>
        <v>96.774193548387103</v>
      </c>
      <c r="I33" s="17">
        <f>F33/SUM(D33:F33)*100</f>
        <v>3.225806451612903</v>
      </c>
      <c r="J33" s="17">
        <f>SUM(D33:F33)</f>
        <v>31</v>
      </c>
    </row>
    <row r="34" spans="1:10">
      <c r="A34" s="15" t="s">
        <v>357</v>
      </c>
      <c r="B34" s="58" t="s">
        <v>736</v>
      </c>
      <c r="C34" s="15" t="s">
        <v>876</v>
      </c>
      <c r="D34" s="15">
        <v>0</v>
      </c>
      <c r="E34" s="15">
        <v>14</v>
      </c>
      <c r="F34" s="15">
        <v>0</v>
      </c>
      <c r="G34" s="15"/>
      <c r="H34" s="15"/>
      <c r="I34" s="15"/>
      <c r="J34" s="15"/>
    </row>
    <row r="35" spans="1:10">
      <c r="A35" s="15" t="s">
        <v>358</v>
      </c>
      <c r="B35" s="59" t="s">
        <v>736</v>
      </c>
      <c r="C35" s="15" t="s">
        <v>876</v>
      </c>
      <c r="D35" s="15">
        <v>0</v>
      </c>
      <c r="E35" s="15">
        <v>17</v>
      </c>
      <c r="F35" s="15">
        <v>0</v>
      </c>
      <c r="G35" s="15"/>
      <c r="H35" s="15"/>
      <c r="I35" s="15"/>
      <c r="J35" s="15"/>
    </row>
    <row r="36" spans="1:10">
      <c r="A36" s="17" t="s">
        <v>359</v>
      </c>
      <c r="B36" s="60" t="s">
        <v>736</v>
      </c>
      <c r="C36" s="17" t="s">
        <v>876</v>
      </c>
      <c r="D36" s="17">
        <f>SUM(D34:D35)</f>
        <v>0</v>
      </c>
      <c r="E36" s="17">
        <f>SUM(E34:E35)</f>
        <v>31</v>
      </c>
      <c r="F36" s="17">
        <f>SUM(F34:F35)</f>
        <v>0</v>
      </c>
      <c r="G36" s="17">
        <f>D36/SUM(D36:F36)*100</f>
        <v>0</v>
      </c>
      <c r="H36" s="17">
        <f>E36/SUM(D36:F36)*100</f>
        <v>100</v>
      </c>
      <c r="I36" s="17">
        <f>F36/SUM(D36:F36)*100</f>
        <v>0</v>
      </c>
      <c r="J36" s="17">
        <f>SUM(D36:F36)</f>
        <v>31</v>
      </c>
    </row>
    <row r="37" spans="1:10">
      <c r="A37" s="16" t="s">
        <v>360</v>
      </c>
      <c r="F37" s="19" t="s">
        <v>22</v>
      </c>
      <c r="G37" s="20">
        <f>AVERAGE(G24,G27,G30,G33,G36)</f>
        <v>0</v>
      </c>
      <c r="H37" s="20">
        <f>AVERAGE(H24,H27,H30,H33,H36)</f>
        <v>94.506353861192565</v>
      </c>
      <c r="I37" s="20">
        <f>AVERAGE(I24,I27,I30,I33,I36)</f>
        <v>5.4936461388074296</v>
      </c>
      <c r="J37" s="21" t="s">
        <v>492</v>
      </c>
    </row>
    <row r="38" spans="1:10">
      <c r="F38" s="32" t="s">
        <v>570</v>
      </c>
      <c r="G38" s="29">
        <f>STDEV(G24,G27,G30,G33,G36)</f>
        <v>0</v>
      </c>
      <c r="H38" s="29">
        <f>STDEV(H24,H27,H30,H33,H36)</f>
        <v>10.573554522023063</v>
      </c>
      <c r="I38" s="29">
        <f>STDEV(I24,I27,I30,I33,I36)</f>
        <v>10.573554522023057</v>
      </c>
      <c r="J38" s="15">
        <f>SUM(J24,J27,J30,J33,J36)</f>
        <v>150</v>
      </c>
    </row>
    <row r="39" spans="1:10">
      <c r="F39" s="30"/>
    </row>
    <row r="41" spans="1:10">
      <c r="A41" s="15" t="s">
        <v>327</v>
      </c>
      <c r="B41" s="15" t="s">
        <v>735</v>
      </c>
      <c r="C41" s="15" t="s">
        <v>876</v>
      </c>
      <c r="D41" s="15">
        <v>0</v>
      </c>
      <c r="E41" s="15">
        <v>31</v>
      </c>
      <c r="F41" s="15">
        <v>8</v>
      </c>
      <c r="G41" s="15"/>
      <c r="H41" s="15"/>
      <c r="I41" s="15"/>
      <c r="J41" s="15"/>
    </row>
    <row r="42" spans="1:10">
      <c r="A42" s="15" t="s">
        <v>328</v>
      </c>
      <c r="B42" s="15" t="s">
        <v>735</v>
      </c>
      <c r="C42" s="15" t="s">
        <v>876</v>
      </c>
      <c r="D42" s="15">
        <v>0</v>
      </c>
      <c r="E42" s="15">
        <f>53-11</f>
        <v>42</v>
      </c>
      <c r="F42" s="15">
        <v>11</v>
      </c>
      <c r="G42" s="15"/>
      <c r="H42" s="15"/>
      <c r="I42" s="15"/>
      <c r="J42" s="15"/>
    </row>
    <row r="43" spans="1:10">
      <c r="A43" s="17" t="s">
        <v>329</v>
      </c>
      <c r="B43" s="17" t="s">
        <v>735</v>
      </c>
      <c r="C43" s="17" t="s">
        <v>876</v>
      </c>
      <c r="D43" s="17">
        <f>SUM(D41:D42)</f>
        <v>0</v>
      </c>
      <c r="E43" s="17">
        <f>SUM(E41:E42)</f>
        <v>73</v>
      </c>
      <c r="F43" s="17">
        <f>SUM(F41:F42)</f>
        <v>19</v>
      </c>
      <c r="G43" s="17">
        <f>D43/SUM(D43:F43)*100</f>
        <v>0</v>
      </c>
      <c r="H43" s="17">
        <f>E43/SUM(D43:F43)*100</f>
        <v>79.347826086956516</v>
      </c>
      <c r="I43" s="17">
        <f>F43/SUM(D43:F43)*100</f>
        <v>20.652173913043477</v>
      </c>
      <c r="J43" s="17">
        <f>SUM(D43:F43)</f>
        <v>92</v>
      </c>
    </row>
    <row r="44" spans="1:10">
      <c r="A44" s="15" t="s">
        <v>330</v>
      </c>
      <c r="B44" s="15" t="s">
        <v>735</v>
      </c>
      <c r="C44" s="15" t="s">
        <v>876</v>
      </c>
      <c r="D44" s="15">
        <v>0</v>
      </c>
      <c r="E44" s="15">
        <v>54</v>
      </c>
      <c r="F44" s="15">
        <v>4</v>
      </c>
      <c r="G44" s="15"/>
      <c r="H44" s="15"/>
      <c r="I44" s="15"/>
      <c r="J44" s="15"/>
    </row>
    <row r="45" spans="1:10">
      <c r="A45" s="15" t="s">
        <v>331</v>
      </c>
      <c r="B45" s="15" t="s">
        <v>735</v>
      </c>
      <c r="C45" s="15" t="s">
        <v>876</v>
      </c>
      <c r="D45" s="15">
        <v>0</v>
      </c>
      <c r="E45" s="15">
        <v>54</v>
      </c>
      <c r="F45" s="15">
        <v>5</v>
      </c>
      <c r="G45" s="15"/>
      <c r="H45" s="15"/>
      <c r="I45" s="15"/>
      <c r="J45" s="15"/>
    </row>
    <row r="46" spans="1:10">
      <c r="A46" s="17" t="s">
        <v>332</v>
      </c>
      <c r="B46" s="17" t="s">
        <v>735</v>
      </c>
      <c r="C46" s="17" t="s">
        <v>876</v>
      </c>
      <c r="D46" s="17">
        <f>SUM(D44:D45)</f>
        <v>0</v>
      </c>
      <c r="E46" s="17">
        <f>SUM(E44:E45)</f>
        <v>108</v>
      </c>
      <c r="F46" s="17">
        <f>SUM(F44:F45)</f>
        <v>9</v>
      </c>
      <c r="G46" s="17">
        <f>D46/SUM(D46:F46)*100</f>
        <v>0</v>
      </c>
      <c r="H46" s="17">
        <f>E46/SUM(D46:F46)*100</f>
        <v>92.307692307692307</v>
      </c>
      <c r="I46" s="17">
        <f>F46/SUM(D46:F46)*100</f>
        <v>7.6923076923076925</v>
      </c>
      <c r="J46" s="17">
        <f>SUM(D46:F46)</f>
        <v>117</v>
      </c>
    </row>
    <row r="47" spans="1:10">
      <c r="A47" s="15" t="s">
        <v>333</v>
      </c>
      <c r="B47" s="15" t="s">
        <v>735</v>
      </c>
      <c r="C47" s="15" t="s">
        <v>876</v>
      </c>
      <c r="D47" s="15">
        <v>0</v>
      </c>
      <c r="E47" s="15">
        <f>71-6</f>
        <v>65</v>
      </c>
      <c r="F47" s="15">
        <v>6</v>
      </c>
      <c r="G47" s="15"/>
      <c r="H47" s="15"/>
      <c r="I47" s="15"/>
      <c r="J47" s="15"/>
    </row>
    <row r="48" spans="1:10">
      <c r="A48" s="15" t="s">
        <v>334</v>
      </c>
      <c r="B48" s="15" t="s">
        <v>735</v>
      </c>
      <c r="C48" s="15" t="s">
        <v>876</v>
      </c>
      <c r="D48" s="15">
        <v>0</v>
      </c>
      <c r="E48" s="15">
        <f>72-8</f>
        <v>64</v>
      </c>
      <c r="F48" s="15">
        <v>8</v>
      </c>
      <c r="G48" s="15"/>
      <c r="H48" s="15"/>
      <c r="I48" s="15"/>
      <c r="J48" s="15"/>
    </row>
    <row r="49" spans="1:10">
      <c r="A49" s="17" t="s">
        <v>335</v>
      </c>
      <c r="B49" s="17" t="s">
        <v>735</v>
      </c>
      <c r="C49" s="17" t="s">
        <v>876</v>
      </c>
      <c r="D49" s="17">
        <f>SUM(D47:D48)</f>
        <v>0</v>
      </c>
      <c r="E49" s="17">
        <f>SUM(E47:E48)</f>
        <v>129</v>
      </c>
      <c r="F49" s="17">
        <f>SUM(F47:F48)</f>
        <v>14</v>
      </c>
      <c r="G49" s="17">
        <f>D49/SUM(D49:F49)*100</f>
        <v>0</v>
      </c>
      <c r="H49" s="17">
        <f>E49/SUM(D49:F49)*100</f>
        <v>90.209790209790214</v>
      </c>
      <c r="I49" s="17">
        <f>F49/SUM(D49:F49)*100</f>
        <v>9.79020979020979</v>
      </c>
      <c r="J49" s="17">
        <f>SUM(D49:F49)</f>
        <v>143</v>
      </c>
    </row>
    <row r="50" spans="1:10">
      <c r="A50" s="15" t="s">
        <v>336</v>
      </c>
      <c r="B50" s="15" t="s">
        <v>735</v>
      </c>
      <c r="C50" s="15" t="s">
        <v>876</v>
      </c>
      <c r="D50" s="15">
        <v>0</v>
      </c>
      <c r="E50" s="15">
        <v>30</v>
      </c>
      <c r="F50" s="15">
        <v>6</v>
      </c>
      <c r="G50" s="15"/>
      <c r="H50" s="15"/>
      <c r="I50" s="15"/>
      <c r="J50" s="15"/>
    </row>
    <row r="51" spans="1:10">
      <c r="A51" s="15" t="s">
        <v>337</v>
      </c>
      <c r="B51" s="15" t="s">
        <v>735</v>
      </c>
      <c r="C51" s="15" t="s">
        <v>876</v>
      </c>
      <c r="D51" s="15">
        <v>0</v>
      </c>
      <c r="E51" s="15">
        <v>43</v>
      </c>
      <c r="F51" s="15">
        <v>3</v>
      </c>
      <c r="G51" s="15"/>
      <c r="H51" s="15"/>
      <c r="I51" s="15"/>
      <c r="J51" s="15"/>
    </row>
    <row r="52" spans="1:10">
      <c r="A52" s="17" t="s">
        <v>338</v>
      </c>
      <c r="B52" s="17" t="s">
        <v>735</v>
      </c>
      <c r="C52" s="17" t="s">
        <v>876</v>
      </c>
      <c r="D52" s="17">
        <f>SUM(D50:D51)</f>
        <v>0</v>
      </c>
      <c r="E52" s="17">
        <f>SUM(E50:E51)</f>
        <v>73</v>
      </c>
      <c r="F52" s="17">
        <f>SUM(F50:F51)</f>
        <v>9</v>
      </c>
      <c r="G52" s="17">
        <f>D52/SUM(D52:F52)*100</f>
        <v>0</v>
      </c>
      <c r="H52" s="17">
        <f>E52/SUM(D52:F52)*100</f>
        <v>89.024390243902445</v>
      </c>
      <c r="I52" s="17">
        <f>F52/SUM(D52:F52)*100</f>
        <v>10.975609756097562</v>
      </c>
      <c r="J52" s="17">
        <f>SUM(D52:F52)</f>
        <v>82</v>
      </c>
    </row>
    <row r="53" spans="1:10">
      <c r="A53" s="15" t="s">
        <v>339</v>
      </c>
      <c r="B53" s="15" t="s">
        <v>735</v>
      </c>
      <c r="C53" s="15" t="s">
        <v>876</v>
      </c>
      <c r="D53" s="15">
        <v>0</v>
      </c>
      <c r="E53" s="15">
        <v>26</v>
      </c>
      <c r="F53" s="15">
        <v>10</v>
      </c>
      <c r="G53" s="15"/>
      <c r="H53" s="15"/>
      <c r="I53" s="15"/>
      <c r="J53" s="15"/>
    </row>
    <row r="54" spans="1:10">
      <c r="A54" s="15" t="s">
        <v>340</v>
      </c>
      <c r="B54" s="15" t="s">
        <v>735</v>
      </c>
      <c r="C54" s="15" t="s">
        <v>876</v>
      </c>
      <c r="D54" s="15">
        <v>0</v>
      </c>
      <c r="E54" s="15">
        <f>61-24</f>
        <v>37</v>
      </c>
      <c r="F54" s="15">
        <v>24</v>
      </c>
      <c r="G54" s="15"/>
      <c r="H54" s="15"/>
      <c r="I54" s="15"/>
      <c r="J54" s="15"/>
    </row>
    <row r="55" spans="1:10">
      <c r="A55" s="17" t="s">
        <v>341</v>
      </c>
      <c r="B55" s="17" t="s">
        <v>735</v>
      </c>
      <c r="C55" s="17" t="s">
        <v>876</v>
      </c>
      <c r="D55" s="17">
        <f>SUM(D53:D54)</f>
        <v>0</v>
      </c>
      <c r="E55" s="17">
        <f>SUM(E53:E54)</f>
        <v>63</v>
      </c>
      <c r="F55" s="17">
        <f>SUM(F53:F54)</f>
        <v>34</v>
      </c>
      <c r="G55" s="17">
        <f>D55/SUM(D55:F55)*100</f>
        <v>0</v>
      </c>
      <c r="H55" s="17">
        <f>E55/SUM(D55:F55)*100</f>
        <v>64.948453608247419</v>
      </c>
      <c r="I55" s="17">
        <f>F55/SUM(D55:F55)*100</f>
        <v>35.051546391752574</v>
      </c>
      <c r="J55" s="17">
        <f>SUM(D55:F55)</f>
        <v>97</v>
      </c>
    </row>
    <row r="56" spans="1:10">
      <c r="A56" s="15" t="s">
        <v>342</v>
      </c>
      <c r="B56" s="15" t="s">
        <v>735</v>
      </c>
      <c r="C56" s="15" t="s">
        <v>876</v>
      </c>
      <c r="D56" s="15">
        <v>0</v>
      </c>
      <c r="E56" s="15">
        <v>34</v>
      </c>
      <c r="F56" s="15">
        <v>3</v>
      </c>
      <c r="G56" s="15"/>
      <c r="H56" s="15"/>
      <c r="I56" s="15"/>
      <c r="J56" s="15"/>
    </row>
    <row r="57" spans="1:10">
      <c r="A57" s="15" t="s">
        <v>343</v>
      </c>
      <c r="B57" s="15" t="s">
        <v>735</v>
      </c>
      <c r="C57" s="15" t="s">
        <v>876</v>
      </c>
      <c r="D57" s="15">
        <v>0</v>
      </c>
      <c r="E57" s="15">
        <f>46-8</f>
        <v>38</v>
      </c>
      <c r="F57" s="15">
        <v>8</v>
      </c>
      <c r="G57" s="15"/>
      <c r="H57" s="15"/>
      <c r="I57" s="15"/>
      <c r="J57" s="15"/>
    </row>
    <row r="58" spans="1:10">
      <c r="A58" s="17" t="s">
        <v>344</v>
      </c>
      <c r="B58" s="17" t="s">
        <v>735</v>
      </c>
      <c r="C58" s="17" t="s">
        <v>876</v>
      </c>
      <c r="D58" s="17">
        <f>SUM(D56:D57)</f>
        <v>0</v>
      </c>
      <c r="E58" s="17">
        <f>SUM(E56:E57)</f>
        <v>72</v>
      </c>
      <c r="F58" s="17">
        <f>SUM(F56:F57)</f>
        <v>11</v>
      </c>
      <c r="G58" s="17">
        <f>D58/SUM(D58:F58)*100</f>
        <v>0</v>
      </c>
      <c r="H58" s="17">
        <f>E58/SUM(D58:F58)*100</f>
        <v>86.746987951807228</v>
      </c>
      <c r="I58" s="17">
        <f>F58/SUM(D58:F58)*100</f>
        <v>13.253012048192772</v>
      </c>
      <c r="J58" s="17">
        <f>SUM(D58:F58)</f>
        <v>83</v>
      </c>
    </row>
    <row r="59" spans="1:10">
      <c r="A59" s="16" t="s">
        <v>23</v>
      </c>
      <c r="F59" s="19" t="s">
        <v>22</v>
      </c>
      <c r="G59" s="20">
        <f>AVERAGE(G43,G46,G49,G52,G55,G58)</f>
        <v>0</v>
      </c>
      <c r="H59" s="20">
        <f>AVERAGE(H43,H46,H49,H52,H55,H58)</f>
        <v>83.764190068066014</v>
      </c>
      <c r="I59" s="20">
        <f>AVERAGE(I43,I46,I49,I52,I55,I58)</f>
        <v>16.235809931933979</v>
      </c>
      <c r="J59" s="21" t="s">
        <v>492</v>
      </c>
    </row>
    <row r="60" spans="1:10">
      <c r="F60" s="32" t="s">
        <v>570</v>
      </c>
      <c r="G60" s="29">
        <f>STDEV(G43,G46,G49,G52,G55,G58)</f>
        <v>0</v>
      </c>
      <c r="H60" s="29">
        <f>STDEV(H43,H46,H49,H52,H55,H58)</f>
        <v>10.243438779527111</v>
      </c>
      <c r="I60" s="29">
        <f>STDEV(I43,I46,I49,I52,I55,I58)</f>
        <v>10.243438779527143</v>
      </c>
      <c r="J60" s="15">
        <f>SUM(J43,J46,J49,J52,J55,J58)</f>
        <v>614</v>
      </c>
    </row>
    <row r="61" spans="1:10">
      <c r="F61" s="30"/>
    </row>
    <row r="63" spans="1:10">
      <c r="A63" s="17" t="s">
        <v>413</v>
      </c>
      <c r="B63" s="17" t="s">
        <v>490</v>
      </c>
      <c r="C63" s="17" t="s">
        <v>875</v>
      </c>
      <c r="D63" s="17">
        <v>0</v>
      </c>
      <c r="E63" s="17">
        <v>49</v>
      </c>
      <c r="F63" s="17">
        <v>0</v>
      </c>
      <c r="G63" s="17">
        <f t="shared" ref="G63:G69" si="10">D63/SUM(D63:F63)*100</f>
        <v>0</v>
      </c>
      <c r="H63" s="17">
        <f t="shared" ref="H63:H69" si="11">E63/SUM(D63:F63)*100</f>
        <v>100</v>
      </c>
      <c r="I63" s="17">
        <f t="shared" ref="I63:I69" si="12">F63/SUM(D63:F63)*100</f>
        <v>0</v>
      </c>
      <c r="J63" s="17">
        <f t="shared" ref="J63:J69" si="13">SUM(D63:F63)</f>
        <v>49</v>
      </c>
    </row>
    <row r="64" spans="1:10">
      <c r="A64" s="17" t="s">
        <v>414</v>
      </c>
      <c r="B64" s="17" t="s">
        <v>490</v>
      </c>
      <c r="C64" s="17" t="s">
        <v>875</v>
      </c>
      <c r="D64" s="17">
        <v>0</v>
      </c>
      <c r="E64" s="17">
        <v>27</v>
      </c>
      <c r="F64" s="17">
        <v>3</v>
      </c>
      <c r="G64" s="17">
        <f t="shared" si="10"/>
        <v>0</v>
      </c>
      <c r="H64" s="17">
        <f t="shared" si="11"/>
        <v>90</v>
      </c>
      <c r="I64" s="17">
        <f t="shared" si="12"/>
        <v>10</v>
      </c>
      <c r="J64" s="17">
        <f t="shared" si="13"/>
        <v>30</v>
      </c>
    </row>
    <row r="65" spans="1:10">
      <c r="A65" s="17" t="s">
        <v>415</v>
      </c>
      <c r="B65" s="17" t="s">
        <v>490</v>
      </c>
      <c r="C65" s="17" t="s">
        <v>875</v>
      </c>
      <c r="D65" s="17">
        <v>0</v>
      </c>
      <c r="E65" s="17">
        <v>12</v>
      </c>
      <c r="F65" s="17">
        <v>2</v>
      </c>
      <c r="G65" s="17">
        <f t="shared" si="10"/>
        <v>0</v>
      </c>
      <c r="H65" s="17">
        <f t="shared" si="11"/>
        <v>85.714285714285708</v>
      </c>
      <c r="I65" s="17">
        <f t="shared" si="12"/>
        <v>14.285714285714285</v>
      </c>
      <c r="J65" s="17">
        <f t="shared" si="13"/>
        <v>14</v>
      </c>
    </row>
    <row r="66" spans="1:10">
      <c r="A66" s="17" t="s">
        <v>416</v>
      </c>
      <c r="B66" s="17" t="s">
        <v>490</v>
      </c>
      <c r="C66" s="17" t="s">
        <v>875</v>
      </c>
      <c r="D66" s="17">
        <v>1</v>
      </c>
      <c r="E66" s="17">
        <f>149-31</f>
        <v>118</v>
      </c>
      <c r="F66" s="17">
        <v>31</v>
      </c>
      <c r="G66" s="17">
        <f t="shared" si="10"/>
        <v>0.66666666666666674</v>
      </c>
      <c r="H66" s="17">
        <f t="shared" si="11"/>
        <v>78.666666666666657</v>
      </c>
      <c r="I66" s="17">
        <f t="shared" si="12"/>
        <v>20.666666666666668</v>
      </c>
      <c r="J66" s="17">
        <f t="shared" si="13"/>
        <v>150</v>
      </c>
    </row>
    <row r="67" spans="1:10">
      <c r="A67" s="17" t="s">
        <v>417</v>
      </c>
      <c r="B67" s="17" t="s">
        <v>490</v>
      </c>
      <c r="C67" s="17" t="s">
        <v>875</v>
      </c>
      <c r="D67" s="17">
        <v>0</v>
      </c>
      <c r="E67" s="17">
        <f>23-6</f>
        <v>17</v>
      </c>
      <c r="F67" s="17">
        <v>6</v>
      </c>
      <c r="G67" s="17">
        <f t="shared" si="10"/>
        <v>0</v>
      </c>
      <c r="H67" s="17">
        <f t="shared" si="11"/>
        <v>73.91304347826086</v>
      </c>
      <c r="I67" s="17">
        <f t="shared" si="12"/>
        <v>26.086956521739129</v>
      </c>
      <c r="J67" s="17">
        <f t="shared" si="13"/>
        <v>23</v>
      </c>
    </row>
    <row r="68" spans="1:10">
      <c r="A68" s="17" t="s">
        <v>418</v>
      </c>
      <c r="B68" s="17" t="s">
        <v>490</v>
      </c>
      <c r="C68" s="17" t="s">
        <v>875</v>
      </c>
      <c r="D68" s="17">
        <v>0</v>
      </c>
      <c r="E68" s="17">
        <v>36</v>
      </c>
      <c r="F68" s="17">
        <v>0</v>
      </c>
      <c r="G68" s="17">
        <f t="shared" si="10"/>
        <v>0</v>
      </c>
      <c r="H68" s="17">
        <f t="shared" si="11"/>
        <v>100</v>
      </c>
      <c r="I68" s="17">
        <f t="shared" si="12"/>
        <v>0</v>
      </c>
      <c r="J68" s="17">
        <f t="shared" si="13"/>
        <v>36</v>
      </c>
    </row>
    <row r="69" spans="1:10">
      <c r="A69" s="17" t="s">
        <v>419</v>
      </c>
      <c r="B69" s="17" t="s">
        <v>490</v>
      </c>
      <c r="C69" s="17" t="s">
        <v>875</v>
      </c>
      <c r="D69" s="17">
        <v>0</v>
      </c>
      <c r="E69" s="17">
        <v>48</v>
      </c>
      <c r="F69" s="17">
        <v>1</v>
      </c>
      <c r="G69" s="17">
        <f t="shared" si="10"/>
        <v>0</v>
      </c>
      <c r="H69" s="17">
        <f t="shared" si="11"/>
        <v>97.959183673469383</v>
      </c>
      <c r="I69" s="17">
        <f t="shared" si="12"/>
        <v>2.0408163265306123</v>
      </c>
      <c r="J69" s="17">
        <f t="shared" si="13"/>
        <v>49</v>
      </c>
    </row>
    <row r="70" spans="1:10">
      <c r="A70" s="16" t="s">
        <v>420</v>
      </c>
      <c r="F70" s="19" t="s">
        <v>22</v>
      </c>
      <c r="G70" s="20">
        <f>AVERAGE(G63:G69)</f>
        <v>9.5238095238095247E-2</v>
      </c>
      <c r="H70" s="20">
        <f>AVERAGE(H63:H69)</f>
        <v>89.464739933240381</v>
      </c>
      <c r="I70" s="20">
        <f>AVERAGE(I63:I69)</f>
        <v>10.440021971521528</v>
      </c>
      <c r="J70" s="21" t="s">
        <v>492</v>
      </c>
    </row>
    <row r="71" spans="1:10">
      <c r="F71" s="32" t="s">
        <v>570</v>
      </c>
      <c r="G71" s="29">
        <f>STDEV(G63:G69)</f>
        <v>0.25197631533948484</v>
      </c>
      <c r="H71" s="29">
        <f>STDEV(H63:H69)</f>
        <v>10.543126061484125</v>
      </c>
      <c r="I71" s="29">
        <f>STDEV(I63:I69)</f>
        <v>10.431750925651201</v>
      </c>
      <c r="J71" s="15">
        <f>SUM(J63:J69)</f>
        <v>351</v>
      </c>
    </row>
    <row r="72" spans="1:10">
      <c r="F72" s="30"/>
    </row>
    <row r="74" spans="1:10">
      <c r="A74" s="17" t="s">
        <v>395</v>
      </c>
      <c r="B74" s="17" t="s">
        <v>24</v>
      </c>
      <c r="C74" s="17" t="s">
        <v>875</v>
      </c>
      <c r="D74" s="17">
        <v>2</v>
      </c>
      <c r="E74" s="17">
        <f>56-21</f>
        <v>35</v>
      </c>
      <c r="F74" s="17">
        <v>21</v>
      </c>
      <c r="G74" s="17">
        <f t="shared" ref="G74:G84" si="14">D74/SUM(D74:F74)*100</f>
        <v>3.4482758620689653</v>
      </c>
      <c r="H74" s="17">
        <f t="shared" ref="H74:H84" si="15">E74/SUM(D74:F74)*100</f>
        <v>60.344827586206897</v>
      </c>
      <c r="I74" s="17">
        <f t="shared" ref="I74:I84" si="16">F74/SUM(D74:F74)*100</f>
        <v>36.206896551724135</v>
      </c>
      <c r="J74" s="17">
        <f t="shared" ref="J74:J84" si="17">SUM(D74:F74)</f>
        <v>58</v>
      </c>
    </row>
    <row r="75" spans="1:10">
      <c r="A75" s="17" t="s">
        <v>396</v>
      </c>
      <c r="B75" s="17" t="s">
        <v>24</v>
      </c>
      <c r="C75" s="17" t="s">
        <v>875</v>
      </c>
      <c r="D75" s="17">
        <v>0</v>
      </c>
      <c r="E75" s="17">
        <v>13</v>
      </c>
      <c r="F75" s="17">
        <v>13</v>
      </c>
      <c r="G75" s="17">
        <f t="shared" si="14"/>
        <v>0</v>
      </c>
      <c r="H75" s="17">
        <f t="shared" si="15"/>
        <v>50</v>
      </c>
      <c r="I75" s="17">
        <f t="shared" si="16"/>
        <v>50</v>
      </c>
      <c r="J75" s="17">
        <f t="shared" si="17"/>
        <v>26</v>
      </c>
    </row>
    <row r="76" spans="1:10">
      <c r="A76" s="17" t="s">
        <v>397</v>
      </c>
      <c r="B76" s="17" t="s">
        <v>24</v>
      </c>
      <c r="C76" s="17" t="s">
        <v>875</v>
      </c>
      <c r="D76" s="17">
        <v>0</v>
      </c>
      <c r="E76" s="17">
        <f>25-8</f>
        <v>17</v>
      </c>
      <c r="F76" s="17">
        <v>8</v>
      </c>
      <c r="G76" s="17">
        <f t="shared" si="14"/>
        <v>0</v>
      </c>
      <c r="H76" s="17">
        <f t="shared" si="15"/>
        <v>68</v>
      </c>
      <c r="I76" s="17">
        <f t="shared" si="16"/>
        <v>32</v>
      </c>
      <c r="J76" s="17">
        <f t="shared" si="17"/>
        <v>25</v>
      </c>
    </row>
    <row r="77" spans="1:10">
      <c r="A77" s="17" t="s">
        <v>398</v>
      </c>
      <c r="B77" s="17" t="s">
        <v>24</v>
      </c>
      <c r="C77" s="17" t="s">
        <v>875</v>
      </c>
      <c r="D77" s="17">
        <v>0</v>
      </c>
      <c r="E77" s="17">
        <f>37-8</f>
        <v>29</v>
      </c>
      <c r="F77" s="17">
        <v>8</v>
      </c>
      <c r="G77" s="17">
        <f t="shared" si="14"/>
        <v>0</v>
      </c>
      <c r="H77" s="17">
        <f t="shared" si="15"/>
        <v>78.378378378378372</v>
      </c>
      <c r="I77" s="17">
        <f t="shared" si="16"/>
        <v>21.621621621621621</v>
      </c>
      <c r="J77" s="17">
        <f t="shared" si="17"/>
        <v>37</v>
      </c>
    </row>
    <row r="78" spans="1:10">
      <c r="A78" s="17" t="s">
        <v>399</v>
      </c>
      <c r="B78" s="17" t="s">
        <v>24</v>
      </c>
      <c r="C78" s="17" t="s">
        <v>875</v>
      </c>
      <c r="D78" s="17">
        <v>1</v>
      </c>
      <c r="E78" s="17">
        <f>60-18</f>
        <v>42</v>
      </c>
      <c r="F78" s="17">
        <v>18</v>
      </c>
      <c r="G78" s="17">
        <f t="shared" si="14"/>
        <v>1.639344262295082</v>
      </c>
      <c r="H78" s="17">
        <f t="shared" si="15"/>
        <v>68.852459016393439</v>
      </c>
      <c r="I78" s="17">
        <f t="shared" si="16"/>
        <v>29.508196721311474</v>
      </c>
      <c r="J78" s="17">
        <f t="shared" si="17"/>
        <v>61</v>
      </c>
    </row>
    <row r="79" spans="1:10">
      <c r="A79" s="17" t="s">
        <v>400</v>
      </c>
      <c r="B79" s="17" t="s">
        <v>24</v>
      </c>
      <c r="C79" s="17" t="s">
        <v>875</v>
      </c>
      <c r="D79" s="17">
        <v>2</v>
      </c>
      <c r="E79" s="17">
        <f>46-12</f>
        <v>34</v>
      </c>
      <c r="F79" s="17">
        <v>12</v>
      </c>
      <c r="G79" s="17">
        <f t="shared" si="14"/>
        <v>4.1666666666666661</v>
      </c>
      <c r="H79" s="17">
        <f t="shared" si="15"/>
        <v>70.833333333333343</v>
      </c>
      <c r="I79" s="17">
        <f t="shared" si="16"/>
        <v>25</v>
      </c>
      <c r="J79" s="17">
        <f t="shared" si="17"/>
        <v>48</v>
      </c>
    </row>
    <row r="80" spans="1:10">
      <c r="A80" s="17" t="s">
        <v>401</v>
      </c>
      <c r="B80" s="17" t="s">
        <v>24</v>
      </c>
      <c r="C80" s="17" t="s">
        <v>875</v>
      </c>
      <c r="D80" s="17">
        <v>2</v>
      </c>
      <c r="E80" s="17">
        <v>34</v>
      </c>
      <c r="F80" s="17">
        <v>6</v>
      </c>
      <c r="G80" s="17">
        <f t="shared" si="14"/>
        <v>4.7619047619047619</v>
      </c>
      <c r="H80" s="17">
        <f t="shared" si="15"/>
        <v>80.952380952380949</v>
      </c>
      <c r="I80" s="17">
        <f t="shared" si="16"/>
        <v>14.285714285714285</v>
      </c>
      <c r="J80" s="17">
        <f t="shared" si="17"/>
        <v>42</v>
      </c>
    </row>
    <row r="81" spans="1:10">
      <c r="A81" s="17" t="s">
        <v>402</v>
      </c>
      <c r="B81" s="17" t="s">
        <v>24</v>
      </c>
      <c r="C81" s="17" t="s">
        <v>875</v>
      </c>
      <c r="D81" s="17">
        <v>0</v>
      </c>
      <c r="E81" s="17">
        <v>37</v>
      </c>
      <c r="F81" s="17">
        <v>10</v>
      </c>
      <c r="G81" s="17">
        <f t="shared" si="14"/>
        <v>0</v>
      </c>
      <c r="H81" s="17">
        <f t="shared" si="15"/>
        <v>78.723404255319153</v>
      </c>
      <c r="I81" s="17">
        <f t="shared" si="16"/>
        <v>21.276595744680851</v>
      </c>
      <c r="J81" s="17">
        <f t="shared" si="17"/>
        <v>47</v>
      </c>
    </row>
    <row r="82" spans="1:10">
      <c r="A82" s="17" t="s">
        <v>403</v>
      </c>
      <c r="B82" s="17" t="s">
        <v>24</v>
      </c>
      <c r="C82" s="17" t="s">
        <v>875</v>
      </c>
      <c r="D82" s="17">
        <v>1</v>
      </c>
      <c r="E82" s="17">
        <f>29-11</f>
        <v>18</v>
      </c>
      <c r="F82" s="17">
        <v>11</v>
      </c>
      <c r="G82" s="17">
        <f t="shared" si="14"/>
        <v>3.3333333333333335</v>
      </c>
      <c r="H82" s="17">
        <f t="shared" si="15"/>
        <v>60</v>
      </c>
      <c r="I82" s="17">
        <f t="shared" si="16"/>
        <v>36.666666666666664</v>
      </c>
      <c r="J82" s="17">
        <f t="shared" si="17"/>
        <v>30</v>
      </c>
    </row>
    <row r="83" spans="1:10">
      <c r="A83" s="17" t="s">
        <v>404</v>
      </c>
      <c r="B83" s="17" t="s">
        <v>24</v>
      </c>
      <c r="C83" s="17" t="s">
        <v>875</v>
      </c>
      <c r="D83" s="17">
        <v>0</v>
      </c>
      <c r="E83" s="17">
        <v>12</v>
      </c>
      <c r="F83" s="17">
        <v>4</v>
      </c>
      <c r="G83" s="17">
        <f t="shared" si="14"/>
        <v>0</v>
      </c>
      <c r="H83" s="17">
        <f t="shared" si="15"/>
        <v>75</v>
      </c>
      <c r="I83" s="17">
        <f t="shared" si="16"/>
        <v>25</v>
      </c>
      <c r="J83" s="17">
        <f t="shared" si="17"/>
        <v>16</v>
      </c>
    </row>
    <row r="84" spans="1:10">
      <c r="A84" s="17" t="s">
        <v>405</v>
      </c>
      <c r="B84" s="17" t="s">
        <v>24</v>
      </c>
      <c r="C84" s="17" t="s">
        <v>875</v>
      </c>
      <c r="D84" s="17">
        <v>0</v>
      </c>
      <c r="E84" s="17">
        <f>33-6</f>
        <v>27</v>
      </c>
      <c r="F84" s="17">
        <v>6</v>
      </c>
      <c r="G84" s="17">
        <f t="shared" si="14"/>
        <v>0</v>
      </c>
      <c r="H84" s="17">
        <f t="shared" si="15"/>
        <v>81.818181818181827</v>
      </c>
      <c r="I84" s="17">
        <f t="shared" si="16"/>
        <v>18.181818181818183</v>
      </c>
      <c r="J84" s="17">
        <f t="shared" si="17"/>
        <v>33</v>
      </c>
    </row>
    <row r="85" spans="1:10">
      <c r="A85" s="16" t="s">
        <v>406</v>
      </c>
      <c r="F85" s="13" t="s">
        <v>22</v>
      </c>
      <c r="G85" s="29">
        <f>AVERAGE(G74:G84)</f>
        <v>1.577229535115346</v>
      </c>
      <c r="H85" s="29">
        <f>AVERAGE(H74:H84)</f>
        <v>70.263905940017636</v>
      </c>
      <c r="I85" s="29">
        <f>AVERAGE(I74:I84)</f>
        <v>28.15886452486702</v>
      </c>
      <c r="J85" s="21" t="s">
        <v>492</v>
      </c>
    </row>
    <row r="86" spans="1:10">
      <c r="F86" s="32" t="s">
        <v>570</v>
      </c>
      <c r="G86" s="29">
        <f>STDEV(G74:G84)</f>
        <v>1.958617679489258</v>
      </c>
      <c r="H86" s="29">
        <f>STDEV(H74:H84)</f>
        <v>10.145869185847539</v>
      </c>
      <c r="I86" s="29">
        <f>STDEV(I74:I84)</f>
        <v>10.162812133205358</v>
      </c>
      <c r="J86" s="25">
        <f>SUM(J74:J84)</f>
        <v>423</v>
      </c>
    </row>
    <row r="87" spans="1:10">
      <c r="F87" s="30"/>
    </row>
    <row r="89" spans="1:10">
      <c r="A89" s="15" t="s">
        <v>361</v>
      </c>
      <c r="B89" s="15" t="s">
        <v>736</v>
      </c>
      <c r="C89" s="15" t="s">
        <v>875</v>
      </c>
      <c r="D89" s="15">
        <v>0</v>
      </c>
      <c r="E89" s="15">
        <v>14</v>
      </c>
      <c r="F89" s="15">
        <v>1</v>
      </c>
      <c r="G89" s="15"/>
      <c r="H89" s="15"/>
      <c r="I89" s="15"/>
      <c r="J89" s="15"/>
    </row>
    <row r="90" spans="1:10">
      <c r="A90" s="15" t="s">
        <v>361</v>
      </c>
      <c r="B90" s="15" t="s">
        <v>736</v>
      </c>
      <c r="C90" s="15" t="s">
        <v>875</v>
      </c>
      <c r="D90" s="15">
        <v>1</v>
      </c>
      <c r="E90" s="15">
        <v>20</v>
      </c>
      <c r="F90" s="15">
        <v>0</v>
      </c>
      <c r="G90" s="15"/>
      <c r="H90" s="15"/>
      <c r="I90" s="15"/>
      <c r="J90" s="15"/>
    </row>
    <row r="91" spans="1:10">
      <c r="A91" s="17" t="s">
        <v>362</v>
      </c>
      <c r="B91" s="17" t="s">
        <v>736</v>
      </c>
      <c r="C91" s="17" t="s">
        <v>875</v>
      </c>
      <c r="D91" s="17">
        <f>SUM(D89:D90)</f>
        <v>1</v>
      </c>
      <c r="E91" s="17">
        <f>SUM(E89:E90)</f>
        <v>34</v>
      </c>
      <c r="F91" s="17">
        <f>SUM(F89:F90)</f>
        <v>1</v>
      </c>
      <c r="G91" s="17">
        <f>D91/SUM(D91:F91)*100</f>
        <v>2.7777777777777777</v>
      </c>
      <c r="H91" s="17">
        <f>E91/SUM(D91:F91)*100</f>
        <v>94.444444444444443</v>
      </c>
      <c r="I91" s="17">
        <f>F91/SUM(D91:F91)*100</f>
        <v>2.7777777777777777</v>
      </c>
      <c r="J91" s="17">
        <f>SUM(D91:F91)</f>
        <v>36</v>
      </c>
    </row>
    <row r="92" spans="1:10">
      <c r="A92" s="15" t="s">
        <v>363</v>
      </c>
      <c r="B92" s="15" t="s">
        <v>736</v>
      </c>
      <c r="C92" s="15" t="s">
        <v>875</v>
      </c>
      <c r="D92" s="15">
        <v>0</v>
      </c>
      <c r="E92" s="15">
        <f>23-7</f>
        <v>16</v>
      </c>
      <c r="F92" s="15">
        <v>7</v>
      </c>
      <c r="G92" s="15"/>
      <c r="H92" s="15"/>
      <c r="I92" s="15"/>
      <c r="J92" s="15"/>
    </row>
    <row r="93" spans="1:10">
      <c r="A93" s="15" t="s">
        <v>363</v>
      </c>
      <c r="B93" s="15" t="s">
        <v>736</v>
      </c>
      <c r="C93" s="15" t="s">
        <v>875</v>
      </c>
      <c r="D93" s="15">
        <v>0</v>
      </c>
      <c r="E93" s="15">
        <v>11</v>
      </c>
      <c r="F93" s="15">
        <v>7</v>
      </c>
      <c r="G93" s="15"/>
      <c r="H93" s="15"/>
      <c r="I93" s="15"/>
      <c r="J93" s="15"/>
    </row>
    <row r="94" spans="1:10">
      <c r="A94" s="17" t="s">
        <v>364</v>
      </c>
      <c r="B94" s="17" t="s">
        <v>736</v>
      </c>
      <c r="C94" s="17" t="s">
        <v>875</v>
      </c>
      <c r="D94" s="17">
        <f>SUM(D92:D93)</f>
        <v>0</v>
      </c>
      <c r="E94" s="17">
        <f>SUM(E92:E93)</f>
        <v>27</v>
      </c>
      <c r="F94" s="17">
        <f>SUM(F92:F93)</f>
        <v>14</v>
      </c>
      <c r="G94" s="17">
        <f>D94/SUM(D94:F94)*100</f>
        <v>0</v>
      </c>
      <c r="H94" s="17">
        <f>E94/SUM(D94:F94)*100</f>
        <v>65.853658536585371</v>
      </c>
      <c r="I94" s="17">
        <f>F94/SUM(D94:F94)*100</f>
        <v>34.146341463414636</v>
      </c>
      <c r="J94" s="17">
        <f>SUM(D94:F94)</f>
        <v>41</v>
      </c>
    </row>
    <row r="95" spans="1:10">
      <c r="A95" s="15" t="s">
        <v>365</v>
      </c>
      <c r="B95" s="15" t="s">
        <v>736</v>
      </c>
      <c r="C95" s="15" t="s">
        <v>875</v>
      </c>
      <c r="D95" s="15">
        <v>0</v>
      </c>
      <c r="E95" s="15">
        <v>12</v>
      </c>
      <c r="F95" s="15">
        <v>4</v>
      </c>
      <c r="G95" s="15"/>
      <c r="H95" s="15"/>
      <c r="I95" s="15"/>
      <c r="J95" s="15"/>
    </row>
    <row r="96" spans="1:10">
      <c r="A96" s="15" t="s">
        <v>365</v>
      </c>
      <c r="B96" s="15" t="s">
        <v>736</v>
      </c>
      <c r="C96" s="15" t="s">
        <v>875</v>
      </c>
      <c r="D96" s="15">
        <v>0</v>
      </c>
      <c r="E96" s="15">
        <v>12</v>
      </c>
      <c r="F96" s="15">
        <v>1</v>
      </c>
      <c r="G96" s="15"/>
      <c r="H96" s="15"/>
      <c r="I96" s="15"/>
      <c r="J96" s="15"/>
    </row>
    <row r="97" spans="1:10">
      <c r="A97" s="17" t="s">
        <v>366</v>
      </c>
      <c r="B97" s="17" t="s">
        <v>736</v>
      </c>
      <c r="C97" s="17" t="s">
        <v>875</v>
      </c>
      <c r="D97" s="17">
        <f>SUM(D95:D96)</f>
        <v>0</v>
      </c>
      <c r="E97" s="17">
        <f>SUM(E95:E96)</f>
        <v>24</v>
      </c>
      <c r="F97" s="17">
        <f>SUM(F95:F96)</f>
        <v>5</v>
      </c>
      <c r="G97" s="17">
        <f>D97/SUM(D97:F97)*100</f>
        <v>0</v>
      </c>
      <c r="H97" s="17">
        <f>E97/SUM(D97:F97)*100</f>
        <v>82.758620689655174</v>
      </c>
      <c r="I97" s="17">
        <f>F97/SUM(D97:F97)*100</f>
        <v>17.241379310344829</v>
      </c>
      <c r="J97" s="17">
        <f>SUM(D97:F97)</f>
        <v>29</v>
      </c>
    </row>
    <row r="98" spans="1:10">
      <c r="A98" s="15" t="s">
        <v>367</v>
      </c>
      <c r="B98" s="15" t="s">
        <v>736</v>
      </c>
      <c r="C98" s="15" t="s">
        <v>875</v>
      </c>
      <c r="D98" s="15">
        <v>1</v>
      </c>
      <c r="E98" s="15">
        <v>17</v>
      </c>
      <c r="F98" s="15">
        <v>3</v>
      </c>
      <c r="G98" s="15"/>
      <c r="H98" s="15"/>
      <c r="I98" s="15"/>
      <c r="J98" s="15"/>
    </row>
    <row r="99" spans="1:10">
      <c r="A99" s="15" t="s">
        <v>367</v>
      </c>
      <c r="B99" s="15" t="s">
        <v>736</v>
      </c>
      <c r="C99" s="15" t="s">
        <v>875</v>
      </c>
      <c r="D99" s="15">
        <v>0</v>
      </c>
      <c r="E99" s="15">
        <v>9</v>
      </c>
      <c r="F99" s="15">
        <v>2</v>
      </c>
      <c r="G99" s="15"/>
      <c r="H99" s="15"/>
      <c r="I99" s="15"/>
      <c r="J99" s="15"/>
    </row>
    <row r="100" spans="1:10">
      <c r="A100" s="17" t="s">
        <v>368</v>
      </c>
      <c r="B100" s="17" t="s">
        <v>736</v>
      </c>
      <c r="C100" s="17" t="s">
        <v>875</v>
      </c>
      <c r="D100" s="17">
        <f>SUM(D98:D99)</f>
        <v>1</v>
      </c>
      <c r="E100" s="17">
        <f>SUM(E98:E99)</f>
        <v>26</v>
      </c>
      <c r="F100" s="17">
        <f>SUM(F98:F99)</f>
        <v>5</v>
      </c>
      <c r="G100" s="17">
        <f>D100/SUM(D100:F100)*100</f>
        <v>3.125</v>
      </c>
      <c r="H100" s="17">
        <f>E100/SUM(D100:F100)*100</f>
        <v>81.25</v>
      </c>
      <c r="I100" s="17">
        <f>F100/SUM(D100:F100)*100</f>
        <v>15.625</v>
      </c>
      <c r="J100" s="17">
        <f>SUM(D100:F100)</f>
        <v>32</v>
      </c>
    </row>
    <row r="101" spans="1:10">
      <c r="A101" s="15" t="s">
        <v>369</v>
      </c>
      <c r="B101" s="15" t="s">
        <v>736</v>
      </c>
      <c r="C101" s="15" t="s">
        <v>875</v>
      </c>
      <c r="D101" s="15">
        <v>1</v>
      </c>
      <c r="E101" s="15">
        <v>13</v>
      </c>
      <c r="F101" s="15">
        <v>5</v>
      </c>
      <c r="G101" s="15"/>
      <c r="H101" s="15"/>
      <c r="I101" s="15"/>
      <c r="J101" s="15"/>
    </row>
    <row r="102" spans="1:10">
      <c r="A102" s="15" t="s">
        <v>369</v>
      </c>
      <c r="B102" s="15" t="s">
        <v>736</v>
      </c>
      <c r="C102" s="15" t="s">
        <v>875</v>
      </c>
      <c r="D102" s="15">
        <v>0</v>
      </c>
      <c r="E102" s="15">
        <v>12</v>
      </c>
      <c r="F102" s="15">
        <v>3</v>
      </c>
      <c r="G102" s="15"/>
      <c r="H102" s="15"/>
      <c r="I102" s="15"/>
      <c r="J102" s="15"/>
    </row>
    <row r="103" spans="1:10">
      <c r="A103" s="17" t="s">
        <v>370</v>
      </c>
      <c r="B103" s="17" t="s">
        <v>736</v>
      </c>
      <c r="C103" s="17" t="s">
        <v>875</v>
      </c>
      <c r="D103" s="17">
        <f>SUM(D101:D102)</f>
        <v>1</v>
      </c>
      <c r="E103" s="17">
        <f>SUM(E101:E102)</f>
        <v>25</v>
      </c>
      <c r="F103" s="17">
        <f>SUM(F101:F102)</f>
        <v>8</v>
      </c>
      <c r="G103" s="17">
        <f>D103/SUM(D103:F103)*100</f>
        <v>2.9411764705882351</v>
      </c>
      <c r="H103" s="17">
        <f>E103/SUM(D103:F103)*100</f>
        <v>73.529411764705884</v>
      </c>
      <c r="I103" s="17">
        <f>F103/SUM(D103:F103)*100</f>
        <v>23.52941176470588</v>
      </c>
      <c r="J103" s="17">
        <f>SUM(D103:F103)</f>
        <v>34</v>
      </c>
    </row>
    <row r="104" spans="1:10">
      <c r="A104" s="16" t="s">
        <v>360</v>
      </c>
      <c r="F104" s="19" t="s">
        <v>22</v>
      </c>
      <c r="G104" s="20">
        <f>AVERAGE(G91,G94,G97,G100,G103)</f>
        <v>1.7687908496732025</v>
      </c>
      <c r="H104" s="20">
        <f>AVERAGE(H91,H94,H97,H100,H103)</f>
        <v>79.567227087078166</v>
      </c>
      <c r="I104" s="20">
        <f>AVERAGE(I91,I94,I97,I100,I103)</f>
        <v>18.663982063248625</v>
      </c>
      <c r="J104" s="21" t="s">
        <v>492</v>
      </c>
    </row>
    <row r="105" spans="1:10">
      <c r="F105" s="32" t="s">
        <v>570</v>
      </c>
      <c r="G105" s="29">
        <f>STDEV(G91,G94,G97,G100,G103)</f>
        <v>1.6193430816553107</v>
      </c>
      <c r="H105" s="29">
        <f>STDEV(H91,H94,H97,H100,H103)</f>
        <v>10.710572934692857</v>
      </c>
      <c r="I105" s="29">
        <f>STDEV(I91,I94,I97,I100,I103)</f>
        <v>11.478311678430321</v>
      </c>
      <c r="J105" s="15">
        <f>SUM(J91,J94,J97,J100,J103)</f>
        <v>172</v>
      </c>
    </row>
    <row r="106" spans="1:10">
      <c r="F106" s="30"/>
    </row>
    <row r="108" spans="1:10">
      <c r="A108" s="17" t="s">
        <v>407</v>
      </c>
      <c r="B108" s="17" t="s">
        <v>735</v>
      </c>
      <c r="C108" s="17" t="s">
        <v>875</v>
      </c>
      <c r="D108" s="17">
        <v>0</v>
      </c>
      <c r="E108" s="17">
        <f>117-8</f>
        <v>109</v>
      </c>
      <c r="F108" s="17">
        <v>8</v>
      </c>
      <c r="G108" s="17">
        <f t="shared" ref="G108:G113" si="18">D108/SUM(D108:F108)*100</f>
        <v>0</v>
      </c>
      <c r="H108" s="17">
        <f t="shared" ref="H108:H113" si="19">E108/SUM(D108:F108)*100</f>
        <v>93.162393162393158</v>
      </c>
      <c r="I108" s="17">
        <f t="shared" ref="I108:I113" si="20">F108/SUM(D108:F108)*100</f>
        <v>6.8376068376068382</v>
      </c>
      <c r="J108" s="17">
        <f t="shared" ref="J108:J113" si="21">SUM(D108:F108)</f>
        <v>117</v>
      </c>
    </row>
    <row r="109" spans="1:10">
      <c r="A109" s="17" t="s">
        <v>408</v>
      </c>
      <c r="B109" s="17" t="s">
        <v>735</v>
      </c>
      <c r="C109" s="17" t="s">
        <v>875</v>
      </c>
      <c r="D109" s="17">
        <v>0</v>
      </c>
      <c r="E109" s="17">
        <f>61-3</f>
        <v>58</v>
      </c>
      <c r="F109" s="17">
        <v>3</v>
      </c>
      <c r="G109" s="17">
        <f t="shared" si="18"/>
        <v>0</v>
      </c>
      <c r="H109" s="17">
        <f t="shared" si="19"/>
        <v>95.081967213114751</v>
      </c>
      <c r="I109" s="17">
        <f t="shared" si="20"/>
        <v>4.918032786885246</v>
      </c>
      <c r="J109" s="17">
        <f t="shared" si="21"/>
        <v>61</v>
      </c>
    </row>
    <row r="110" spans="1:10">
      <c r="A110" s="17" t="s">
        <v>409</v>
      </c>
      <c r="B110" s="17" t="s">
        <v>735</v>
      </c>
      <c r="C110" s="17" t="s">
        <v>875</v>
      </c>
      <c r="D110" s="17">
        <v>0</v>
      </c>
      <c r="E110" s="17">
        <f>62-5</f>
        <v>57</v>
      </c>
      <c r="F110" s="17">
        <v>5</v>
      </c>
      <c r="G110" s="17">
        <f t="shared" si="18"/>
        <v>0</v>
      </c>
      <c r="H110" s="17">
        <f t="shared" si="19"/>
        <v>91.935483870967744</v>
      </c>
      <c r="I110" s="17">
        <f t="shared" si="20"/>
        <v>8.064516129032258</v>
      </c>
      <c r="J110" s="17">
        <f t="shared" si="21"/>
        <v>62</v>
      </c>
    </row>
    <row r="111" spans="1:10">
      <c r="A111" s="17" t="s">
        <v>410</v>
      </c>
      <c r="B111" s="17" t="s">
        <v>735</v>
      </c>
      <c r="C111" s="17" t="s">
        <v>875</v>
      </c>
      <c r="D111" s="17">
        <v>1</v>
      </c>
      <c r="E111" s="17">
        <v>71</v>
      </c>
      <c r="F111" s="17">
        <v>0</v>
      </c>
      <c r="G111" s="17">
        <f t="shared" si="18"/>
        <v>1.3888888888888888</v>
      </c>
      <c r="H111" s="17">
        <f t="shared" si="19"/>
        <v>98.611111111111114</v>
      </c>
      <c r="I111" s="17">
        <f t="shared" si="20"/>
        <v>0</v>
      </c>
      <c r="J111" s="17">
        <f t="shared" si="21"/>
        <v>72</v>
      </c>
    </row>
    <row r="112" spans="1:10">
      <c r="A112" s="17" t="s">
        <v>411</v>
      </c>
      <c r="B112" s="17" t="s">
        <v>735</v>
      </c>
      <c r="C112" s="17" t="s">
        <v>875</v>
      </c>
      <c r="D112" s="17">
        <v>0</v>
      </c>
      <c r="E112" s="17">
        <f>62-4</f>
        <v>58</v>
      </c>
      <c r="F112" s="17">
        <v>4</v>
      </c>
      <c r="G112" s="17">
        <f t="shared" si="18"/>
        <v>0</v>
      </c>
      <c r="H112" s="17">
        <f t="shared" si="19"/>
        <v>93.548387096774192</v>
      </c>
      <c r="I112" s="17">
        <f t="shared" si="20"/>
        <v>6.4516129032258061</v>
      </c>
      <c r="J112" s="17">
        <f t="shared" si="21"/>
        <v>62</v>
      </c>
    </row>
    <row r="113" spans="1:10">
      <c r="A113" s="17" t="s">
        <v>412</v>
      </c>
      <c r="B113" s="17" t="s">
        <v>735</v>
      </c>
      <c r="C113" s="17" t="s">
        <v>875</v>
      </c>
      <c r="D113" s="17">
        <v>1</v>
      </c>
      <c r="E113" s="17">
        <f>101-12</f>
        <v>89</v>
      </c>
      <c r="F113" s="17">
        <v>12</v>
      </c>
      <c r="G113" s="17">
        <f t="shared" si="18"/>
        <v>0.98039215686274506</v>
      </c>
      <c r="H113" s="17">
        <f t="shared" si="19"/>
        <v>87.254901960784309</v>
      </c>
      <c r="I113" s="17">
        <f t="shared" si="20"/>
        <v>11.76470588235294</v>
      </c>
      <c r="J113" s="17">
        <f t="shared" si="21"/>
        <v>102</v>
      </c>
    </row>
    <row r="114" spans="1:10">
      <c r="A114" s="16" t="s">
        <v>23</v>
      </c>
      <c r="F114" s="19" t="s">
        <v>22</v>
      </c>
      <c r="G114" s="20">
        <f>AVERAGE(G108:G113)</f>
        <v>0.394880174291939</v>
      </c>
      <c r="H114" s="20">
        <f>AVERAGE(H108:H113)</f>
        <v>93.265707402524228</v>
      </c>
      <c r="I114" s="20">
        <f>AVERAGE(I108:I113)</f>
        <v>6.3394124231838482</v>
      </c>
      <c r="J114" s="21" t="s">
        <v>492</v>
      </c>
    </row>
    <row r="115" spans="1:10">
      <c r="F115" s="32" t="s">
        <v>570</v>
      </c>
      <c r="G115" s="29">
        <f>STDEV(G108:G113)</f>
        <v>0.62523579785933636</v>
      </c>
      <c r="H115" s="29">
        <f>STDEV(H108:H113)</f>
        <v>3.7379673313567818</v>
      </c>
      <c r="I115" s="29">
        <f>STDEV(I108:I113)</f>
        <v>3.8698591312351613</v>
      </c>
      <c r="J115" s="15">
        <f>SUM(J108:J113)</f>
        <v>476</v>
      </c>
    </row>
    <row r="116" spans="1:10">
      <c r="F116" s="30"/>
    </row>
    <row r="117" spans="1:10">
      <c r="A117" s="36"/>
      <c r="B117" s="40" t="s">
        <v>712</v>
      </c>
      <c r="C117" s="40"/>
      <c r="D117" s="40"/>
    </row>
    <row r="118" spans="1:10">
      <c r="A118" s="36"/>
      <c r="B118" s="21" t="s">
        <v>576</v>
      </c>
      <c r="C118" s="21" t="s">
        <v>577</v>
      </c>
      <c r="D118" s="21" t="s">
        <v>578</v>
      </c>
    </row>
    <row r="119" spans="1:10">
      <c r="A119" s="21" t="s">
        <v>726</v>
      </c>
      <c r="B119" s="15">
        <v>0.23480000000000001</v>
      </c>
      <c r="C119" s="15" t="s">
        <v>734</v>
      </c>
      <c r="D119" s="15" t="s">
        <v>734</v>
      </c>
    </row>
    <row r="120" spans="1:10">
      <c r="A120" s="21" t="s">
        <v>727</v>
      </c>
      <c r="B120" s="15">
        <v>0.3322</v>
      </c>
      <c r="C120" s="15">
        <v>9.7600000000000006E-2</v>
      </c>
      <c r="D120" s="15">
        <v>9.5699999999999993E-2</v>
      </c>
    </row>
    <row r="121" spans="1:10">
      <c r="A121" s="21" t="s">
        <v>728</v>
      </c>
      <c r="B121" s="15">
        <v>0.36320000000000002</v>
      </c>
      <c r="C121" s="15">
        <v>0.1241</v>
      </c>
      <c r="D121" s="15">
        <v>0.1323</v>
      </c>
    </row>
    <row r="122" spans="1:10">
      <c r="A122" s="21" t="s">
        <v>729</v>
      </c>
      <c r="B122" s="15" t="s">
        <v>725</v>
      </c>
      <c r="C122" s="15">
        <v>1.23E-2</v>
      </c>
      <c r="D122" s="15">
        <v>1.23E-2</v>
      </c>
    </row>
    <row r="123" spans="1:10">
      <c r="A123" s="21" t="s">
        <v>730</v>
      </c>
      <c r="B123" s="15">
        <v>5.5100000000000003E-2</v>
      </c>
      <c r="C123" s="15">
        <v>3.3999999999999998E-3</v>
      </c>
      <c r="D123" s="15">
        <v>2.0999999999999999E-3</v>
      </c>
    </row>
    <row r="124" spans="1:10">
      <c r="A124" s="21" t="s">
        <v>731</v>
      </c>
      <c r="B124" s="15">
        <v>0.53069999999999995</v>
      </c>
      <c r="C124" s="15">
        <v>0.16919999999999999</v>
      </c>
      <c r="D124" s="15">
        <v>0.16900000000000001</v>
      </c>
    </row>
    <row r="125" spans="1:10">
      <c r="A125" s="21" t="s">
        <v>732</v>
      </c>
      <c r="B125" s="15">
        <v>0.2014</v>
      </c>
      <c r="C125" s="15">
        <v>0.63970000000000005</v>
      </c>
      <c r="D125" s="15">
        <v>0.77210000000000001</v>
      </c>
    </row>
    <row r="126" spans="1:10">
      <c r="A126" s="21" t="s">
        <v>733</v>
      </c>
      <c r="B126" s="15">
        <v>0.1825</v>
      </c>
      <c r="C126" s="15">
        <v>7.7000000000000002E-3</v>
      </c>
      <c r="D126" s="15">
        <v>1.15E-2</v>
      </c>
    </row>
  </sheetData>
  <mergeCells count="1">
    <mergeCell ref="B117:D1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592A9-C4A9-0445-BE30-094F8FA6D2DF}">
  <dimension ref="A1:AH50"/>
  <sheetViews>
    <sheetView workbookViewId="0">
      <selection activeCell="D10" sqref="D10"/>
    </sheetView>
  </sheetViews>
  <sheetFormatPr baseColWidth="10" defaultRowHeight="16"/>
  <cols>
    <col min="1" max="1" width="25.1640625" style="18" bestFit="1" customWidth="1"/>
    <col min="2" max="2" width="4.5" style="18" bestFit="1" customWidth="1"/>
    <col min="3" max="3" width="19.5" style="18" bestFit="1" customWidth="1"/>
    <col min="4" max="4" width="28.1640625" style="18" bestFit="1" customWidth="1"/>
    <col min="5" max="5" width="28.83203125" style="18" bestFit="1" customWidth="1"/>
    <col min="6" max="6" width="30.5" style="18" bestFit="1" customWidth="1"/>
    <col min="7" max="7" width="16.5" style="18" bestFit="1" customWidth="1"/>
    <col min="8" max="8" width="23.1640625" style="18" customWidth="1"/>
    <col min="9" max="9" width="10.83203125" style="18"/>
    <col min="10" max="10" width="17.1640625" style="18" bestFit="1" customWidth="1"/>
    <col min="11" max="11" width="25" style="18" bestFit="1" customWidth="1"/>
    <col min="12" max="12" width="25.6640625" style="18" bestFit="1" customWidth="1"/>
    <col min="13" max="13" width="27.1640625" style="18" bestFit="1" customWidth="1"/>
    <col min="14" max="14" width="16.33203125" style="18" customWidth="1"/>
    <col min="15" max="15" width="22.33203125" style="18" customWidth="1"/>
    <col min="16" max="16" width="10.83203125" style="18"/>
    <col min="17" max="17" width="17.1640625" style="18" bestFit="1" customWidth="1"/>
    <col min="18" max="18" width="25" style="18" bestFit="1" customWidth="1"/>
    <col min="19" max="19" width="25.6640625" style="18" bestFit="1" customWidth="1"/>
    <col min="20" max="20" width="27.1640625" style="18" bestFit="1" customWidth="1"/>
    <col min="21" max="21" width="22.5" style="18" customWidth="1"/>
    <col min="22" max="22" width="21.6640625" style="18" customWidth="1"/>
    <col min="23" max="23" width="10.83203125" style="18"/>
    <col min="24" max="24" width="17.1640625" style="18" bestFit="1" customWidth="1"/>
    <col min="25" max="25" width="25" style="18" bestFit="1" customWidth="1"/>
    <col min="26" max="26" width="25.6640625" style="18" bestFit="1" customWidth="1"/>
    <col min="27" max="27" width="27.1640625" style="18" bestFit="1" customWidth="1"/>
    <col min="28" max="28" width="14.5" style="18" bestFit="1" customWidth="1"/>
    <col min="29" max="30" width="10.83203125" style="18"/>
    <col min="31" max="31" width="28.5" style="18" customWidth="1"/>
    <col min="32" max="16384" width="10.83203125" style="18"/>
  </cols>
  <sheetData>
    <row r="1" spans="1:34">
      <c r="A1" s="33" t="s">
        <v>584</v>
      </c>
    </row>
    <row r="2" spans="1:34">
      <c r="A2" s="21" t="s">
        <v>703</v>
      </c>
      <c r="B2" s="21" t="s">
        <v>581</v>
      </c>
      <c r="C2" s="61"/>
      <c r="D2" s="21" t="s">
        <v>706</v>
      </c>
      <c r="E2" s="21" t="s">
        <v>707</v>
      </c>
      <c r="F2" s="21" t="s">
        <v>708</v>
      </c>
    </row>
    <row r="3" spans="1:34">
      <c r="A3" s="62" t="s">
        <v>702</v>
      </c>
      <c r="B3" s="62">
        <v>1</v>
      </c>
      <c r="C3" s="63" t="s">
        <v>582</v>
      </c>
      <c r="D3" s="15">
        <v>19</v>
      </c>
      <c r="E3" s="15">
        <v>1</v>
      </c>
      <c r="F3" s="15">
        <v>0</v>
      </c>
    </row>
    <row r="4" spans="1:34">
      <c r="A4" s="62"/>
      <c r="B4" s="62"/>
      <c r="C4" s="63" t="s">
        <v>583</v>
      </c>
      <c r="D4" s="15">
        <v>95</v>
      </c>
      <c r="E4" s="15">
        <v>5</v>
      </c>
      <c r="F4" s="15">
        <v>0</v>
      </c>
    </row>
    <row r="5" spans="1:34">
      <c r="A5" s="62"/>
      <c r="B5" s="62">
        <v>2</v>
      </c>
      <c r="C5" s="64" t="s">
        <v>582</v>
      </c>
      <c r="D5" s="15">
        <v>33</v>
      </c>
      <c r="E5" s="15">
        <v>0</v>
      </c>
      <c r="F5" s="15">
        <v>0</v>
      </c>
    </row>
    <row r="6" spans="1:34">
      <c r="A6" s="62"/>
      <c r="B6" s="62"/>
      <c r="C6" s="64" t="s">
        <v>583</v>
      </c>
      <c r="D6" s="15">
        <v>100</v>
      </c>
      <c r="E6" s="15">
        <v>0</v>
      </c>
      <c r="F6" s="15">
        <v>0</v>
      </c>
    </row>
    <row r="7" spans="1:34">
      <c r="A7" s="62"/>
      <c r="B7" s="62">
        <v>3</v>
      </c>
      <c r="C7" s="64" t="s">
        <v>582</v>
      </c>
      <c r="D7" s="15">
        <v>26</v>
      </c>
      <c r="E7" s="15">
        <v>1</v>
      </c>
      <c r="F7" s="15">
        <v>0</v>
      </c>
    </row>
    <row r="8" spans="1:34">
      <c r="A8" s="62"/>
      <c r="B8" s="62"/>
      <c r="C8" s="64" t="s">
        <v>583</v>
      </c>
      <c r="D8" s="15">
        <v>96.296296296296291</v>
      </c>
      <c r="E8" s="15">
        <v>3.7037037037037033</v>
      </c>
      <c r="F8" s="15">
        <v>0</v>
      </c>
    </row>
    <row r="9" spans="1:34">
      <c r="A9" s="62"/>
      <c r="B9" s="62">
        <v>4</v>
      </c>
      <c r="C9" s="64" t="s">
        <v>582</v>
      </c>
      <c r="D9" s="15">
        <v>20</v>
      </c>
      <c r="E9" s="15">
        <v>1</v>
      </c>
      <c r="F9" s="15">
        <v>0</v>
      </c>
    </row>
    <row r="10" spans="1:34">
      <c r="A10" s="62"/>
      <c r="B10" s="62"/>
      <c r="C10" s="64" t="s">
        <v>583</v>
      </c>
      <c r="D10" s="15">
        <v>95.238095238095227</v>
      </c>
      <c r="E10" s="15">
        <v>4.7619047619047619</v>
      </c>
      <c r="F10" s="15">
        <v>0</v>
      </c>
    </row>
    <row r="11" spans="1:34">
      <c r="A11" s="62"/>
      <c r="B11" s="65"/>
      <c r="C11" s="66" t="s">
        <v>709</v>
      </c>
      <c r="D11" s="15">
        <v>98</v>
      </c>
      <c r="E11" s="15">
        <v>3</v>
      </c>
      <c r="F11" s="15">
        <v>0</v>
      </c>
    </row>
    <row r="12" spans="1:34">
      <c r="A12" s="62"/>
      <c r="B12" s="65"/>
      <c r="C12" s="66" t="s">
        <v>710</v>
      </c>
      <c r="D12" s="15">
        <v>97.029702970297024</v>
      </c>
      <c r="E12" s="15">
        <v>2.9702970297029703</v>
      </c>
      <c r="F12" s="15">
        <v>0</v>
      </c>
      <c r="G12" s="21" t="s">
        <v>705</v>
      </c>
      <c r="U12" s="67"/>
    </row>
    <row r="13" spans="1:34">
      <c r="A13" s="62"/>
      <c r="B13" s="65"/>
      <c r="C13" s="61" t="s">
        <v>570</v>
      </c>
      <c r="D13" s="15">
        <v>2.3139076075629599</v>
      </c>
      <c r="E13" s="15">
        <v>2.3139076075629572</v>
      </c>
      <c r="F13" s="15">
        <v>0</v>
      </c>
      <c r="G13" s="58">
        <v>104</v>
      </c>
      <c r="U13" s="67"/>
    </row>
    <row r="14" spans="1:34">
      <c r="A14" s="67"/>
      <c r="B14" s="67"/>
      <c r="C14" s="67"/>
      <c r="D14" s="68"/>
      <c r="K14" s="67"/>
      <c r="L14" s="67"/>
      <c r="M14" s="67"/>
      <c r="N14" s="68"/>
      <c r="U14" s="67"/>
      <c r="AE14" s="67"/>
      <c r="AF14" s="67"/>
      <c r="AG14" s="67"/>
      <c r="AH14" s="68"/>
    </row>
    <row r="15" spans="1:34">
      <c r="A15" s="21" t="s">
        <v>703</v>
      </c>
      <c r="B15" s="21" t="s">
        <v>581</v>
      </c>
      <c r="C15" s="61"/>
      <c r="D15" s="21" t="s">
        <v>706</v>
      </c>
      <c r="E15" s="21" t="s">
        <v>707</v>
      </c>
      <c r="F15" s="21" t="s">
        <v>708</v>
      </c>
      <c r="U15" s="67"/>
      <c r="AE15" s="67"/>
      <c r="AF15" s="67"/>
      <c r="AG15" s="67"/>
      <c r="AH15" s="68"/>
    </row>
    <row r="16" spans="1:34">
      <c r="A16" s="62" t="s">
        <v>704</v>
      </c>
      <c r="B16" s="62">
        <v>1</v>
      </c>
      <c r="C16" s="63" t="s">
        <v>582</v>
      </c>
      <c r="D16" s="15">
        <v>55</v>
      </c>
      <c r="E16" s="15">
        <v>0</v>
      </c>
      <c r="F16" s="15">
        <v>0</v>
      </c>
      <c r="AE16" s="67"/>
      <c r="AF16" s="67"/>
      <c r="AG16" s="67"/>
    </row>
    <row r="17" spans="1:34">
      <c r="A17" s="62"/>
      <c r="B17" s="62"/>
      <c r="C17" s="63" t="s">
        <v>583</v>
      </c>
      <c r="D17" s="15">
        <v>100</v>
      </c>
      <c r="E17" s="15">
        <v>0</v>
      </c>
      <c r="F17" s="15">
        <v>0</v>
      </c>
      <c r="AE17" s="67"/>
      <c r="AF17" s="67"/>
      <c r="AG17" s="67"/>
    </row>
    <row r="18" spans="1:34">
      <c r="A18" s="62"/>
      <c r="B18" s="62">
        <v>2</v>
      </c>
      <c r="C18" s="64" t="s">
        <v>582</v>
      </c>
      <c r="D18" s="15">
        <v>41</v>
      </c>
      <c r="E18" s="15">
        <v>1</v>
      </c>
      <c r="F18" s="15">
        <v>0</v>
      </c>
      <c r="AE18" s="67"/>
      <c r="AF18" s="67"/>
      <c r="AG18" s="67"/>
      <c r="AH18" s="68"/>
    </row>
    <row r="19" spans="1:34">
      <c r="A19" s="62"/>
      <c r="B19" s="62"/>
      <c r="C19" s="64" t="s">
        <v>583</v>
      </c>
      <c r="D19" s="15">
        <v>97.61904761904762</v>
      </c>
      <c r="E19" s="15">
        <v>2.3809523809523809</v>
      </c>
      <c r="F19" s="15">
        <v>0</v>
      </c>
      <c r="AE19" s="67"/>
      <c r="AF19" s="67"/>
      <c r="AG19" s="67"/>
      <c r="AH19" s="68"/>
    </row>
    <row r="20" spans="1:34">
      <c r="A20" s="62"/>
      <c r="B20" s="62">
        <v>3</v>
      </c>
      <c r="C20" s="63" t="s">
        <v>582</v>
      </c>
      <c r="D20" s="15">
        <v>37</v>
      </c>
      <c r="E20" s="15">
        <v>3</v>
      </c>
      <c r="F20" s="15">
        <v>0</v>
      </c>
      <c r="AE20" s="67"/>
      <c r="AF20" s="67"/>
      <c r="AG20" s="67"/>
      <c r="AH20" s="68"/>
    </row>
    <row r="21" spans="1:34">
      <c r="A21" s="62"/>
      <c r="B21" s="62"/>
      <c r="C21" s="63" t="s">
        <v>583</v>
      </c>
      <c r="D21" s="15">
        <v>92.5</v>
      </c>
      <c r="E21" s="15">
        <v>7.5</v>
      </c>
      <c r="F21" s="15">
        <v>0</v>
      </c>
      <c r="AE21" s="67"/>
    </row>
    <row r="22" spans="1:34">
      <c r="A22" s="62"/>
      <c r="B22" s="62">
        <v>4</v>
      </c>
      <c r="C22" s="63" t="s">
        <v>582</v>
      </c>
      <c r="D22" s="15">
        <v>40</v>
      </c>
      <c r="E22" s="15">
        <v>2</v>
      </c>
      <c r="F22" s="15">
        <v>0</v>
      </c>
      <c r="AE22" s="67"/>
    </row>
    <row r="23" spans="1:34">
      <c r="A23" s="62"/>
      <c r="B23" s="62"/>
      <c r="C23" s="63" t="s">
        <v>583</v>
      </c>
      <c r="D23" s="15">
        <v>95.238095238095227</v>
      </c>
      <c r="E23" s="15">
        <v>4.7619047619047619</v>
      </c>
      <c r="F23" s="15">
        <v>0</v>
      </c>
      <c r="X23" s="68"/>
      <c r="AE23" s="67"/>
    </row>
    <row r="24" spans="1:34">
      <c r="A24" s="62"/>
      <c r="B24" s="65"/>
      <c r="C24" s="66" t="s">
        <v>709</v>
      </c>
      <c r="D24" s="15">
        <v>173</v>
      </c>
      <c r="E24" s="15">
        <v>6</v>
      </c>
      <c r="F24" s="15">
        <v>0</v>
      </c>
      <c r="X24" s="68"/>
      <c r="AE24" s="67"/>
    </row>
    <row r="25" spans="1:34">
      <c r="A25" s="62"/>
      <c r="B25" s="65"/>
      <c r="C25" s="66" t="s">
        <v>710</v>
      </c>
      <c r="D25" s="15">
        <v>96.648044692737429</v>
      </c>
      <c r="E25" s="15">
        <v>3.3519553072625698</v>
      </c>
      <c r="F25" s="15">
        <v>0</v>
      </c>
      <c r="G25" s="21" t="s">
        <v>705</v>
      </c>
      <c r="X25" s="68"/>
    </row>
    <row r="26" spans="1:34">
      <c r="A26" s="62"/>
      <c r="B26" s="65"/>
      <c r="C26" s="61" t="s">
        <v>570</v>
      </c>
      <c r="D26" s="15">
        <v>3.2141019935737094</v>
      </c>
      <c r="E26" s="15">
        <v>3.2141019935737076</v>
      </c>
      <c r="F26" s="15">
        <v>0</v>
      </c>
      <c r="G26" s="15">
        <v>185</v>
      </c>
    </row>
    <row r="28" spans="1:34">
      <c r="A28" s="21" t="s">
        <v>703</v>
      </c>
      <c r="B28" s="21" t="s">
        <v>581</v>
      </c>
      <c r="C28" s="61"/>
      <c r="D28" s="21" t="s">
        <v>706</v>
      </c>
      <c r="E28" s="21" t="s">
        <v>707</v>
      </c>
      <c r="F28" s="21" t="s">
        <v>708</v>
      </c>
      <c r="G28" s="33"/>
    </row>
    <row r="29" spans="1:34">
      <c r="A29" s="62" t="s">
        <v>641</v>
      </c>
      <c r="B29" s="62">
        <v>1</v>
      </c>
      <c r="C29" s="63" t="s">
        <v>582</v>
      </c>
      <c r="D29" s="15">
        <v>6</v>
      </c>
      <c r="E29" s="15">
        <v>13</v>
      </c>
      <c r="F29" s="15">
        <v>39</v>
      </c>
    </row>
    <row r="30" spans="1:34">
      <c r="A30" s="62"/>
      <c r="B30" s="62"/>
      <c r="C30" s="63" t="s">
        <v>583</v>
      </c>
      <c r="D30" s="15">
        <v>10.344827586206897</v>
      </c>
      <c r="E30" s="15">
        <v>22.413793103448278</v>
      </c>
      <c r="F30" s="15">
        <v>67.241379310344826</v>
      </c>
    </row>
    <row r="31" spans="1:34">
      <c r="A31" s="62"/>
      <c r="B31" s="62">
        <v>2</v>
      </c>
      <c r="C31" s="64" t="s">
        <v>582</v>
      </c>
      <c r="D31" s="15">
        <v>2</v>
      </c>
      <c r="E31" s="15">
        <v>13</v>
      </c>
      <c r="F31" s="15">
        <v>26</v>
      </c>
    </row>
    <row r="32" spans="1:34">
      <c r="A32" s="62"/>
      <c r="B32" s="62"/>
      <c r="C32" s="64" t="s">
        <v>583</v>
      </c>
      <c r="D32" s="15">
        <v>4.8780487804878048</v>
      </c>
      <c r="E32" s="15">
        <v>31.707317073170731</v>
      </c>
      <c r="F32" s="15">
        <v>63.414634146341463</v>
      </c>
    </row>
    <row r="33" spans="1:7">
      <c r="A33" s="62"/>
      <c r="B33" s="62">
        <v>3</v>
      </c>
      <c r="C33" s="64" t="s">
        <v>582</v>
      </c>
      <c r="D33" s="15">
        <v>7</v>
      </c>
      <c r="E33" s="15">
        <v>10</v>
      </c>
      <c r="F33" s="15">
        <v>27</v>
      </c>
    </row>
    <row r="34" spans="1:7">
      <c r="A34" s="62"/>
      <c r="B34" s="62"/>
      <c r="C34" s="64" t="s">
        <v>583</v>
      </c>
      <c r="D34" s="15">
        <v>15.909090909090908</v>
      </c>
      <c r="E34" s="15">
        <v>22.727272727272727</v>
      </c>
      <c r="F34" s="15">
        <v>61.363636363636367</v>
      </c>
    </row>
    <row r="35" spans="1:7">
      <c r="A35" s="62"/>
      <c r="B35" s="65"/>
      <c r="C35" s="66" t="s">
        <v>709</v>
      </c>
      <c r="D35" s="15">
        <v>15</v>
      </c>
      <c r="E35" s="15">
        <v>36</v>
      </c>
      <c r="F35" s="15">
        <v>92</v>
      </c>
    </row>
    <row r="36" spans="1:7">
      <c r="A36" s="62"/>
      <c r="B36" s="65"/>
      <c r="C36" s="66" t="s">
        <v>710</v>
      </c>
      <c r="D36" s="15">
        <v>10.48951048951049</v>
      </c>
      <c r="E36" s="15">
        <v>25.174825174825177</v>
      </c>
      <c r="F36" s="15">
        <v>64.335664335664333</v>
      </c>
      <c r="G36" s="21" t="s">
        <v>705</v>
      </c>
    </row>
    <row r="37" spans="1:7">
      <c r="A37" s="62"/>
      <c r="B37" s="65"/>
      <c r="C37" s="61" t="s">
        <v>570</v>
      </c>
      <c r="D37" s="15">
        <v>5.5155928554125548</v>
      </c>
      <c r="E37" s="15">
        <v>5.2774528847518161</v>
      </c>
      <c r="F37" s="15">
        <v>2.9832429949767016</v>
      </c>
      <c r="G37" s="69">
        <v>145</v>
      </c>
    </row>
    <row r="39" spans="1:7">
      <c r="A39" s="21" t="s">
        <v>703</v>
      </c>
      <c r="B39" s="21" t="s">
        <v>581</v>
      </c>
      <c r="C39" s="61"/>
      <c r="D39" s="21" t="s">
        <v>706</v>
      </c>
      <c r="E39" s="21" t="s">
        <v>707</v>
      </c>
      <c r="F39" s="21" t="s">
        <v>708</v>
      </c>
    </row>
    <row r="40" spans="1:7">
      <c r="A40" s="62" t="s">
        <v>642</v>
      </c>
      <c r="B40" s="62">
        <v>1</v>
      </c>
      <c r="C40" s="63" t="s">
        <v>582</v>
      </c>
      <c r="D40" s="15">
        <v>56</v>
      </c>
      <c r="E40" s="15">
        <v>0</v>
      </c>
      <c r="F40" s="15">
        <v>0</v>
      </c>
    </row>
    <row r="41" spans="1:7">
      <c r="A41" s="62"/>
      <c r="B41" s="62"/>
      <c r="C41" s="63" t="s">
        <v>583</v>
      </c>
      <c r="D41" s="15">
        <v>100</v>
      </c>
      <c r="E41" s="15">
        <v>0</v>
      </c>
      <c r="F41" s="15">
        <v>0</v>
      </c>
    </row>
    <row r="42" spans="1:7">
      <c r="A42" s="62"/>
      <c r="B42" s="62">
        <v>2</v>
      </c>
      <c r="C42" s="64" t="s">
        <v>582</v>
      </c>
      <c r="D42" s="15">
        <v>37</v>
      </c>
      <c r="E42" s="15">
        <v>0</v>
      </c>
      <c r="F42" s="15">
        <v>0</v>
      </c>
    </row>
    <row r="43" spans="1:7">
      <c r="A43" s="62"/>
      <c r="B43" s="62"/>
      <c r="C43" s="64" t="s">
        <v>583</v>
      </c>
      <c r="D43" s="15">
        <v>100</v>
      </c>
      <c r="E43" s="15">
        <v>0</v>
      </c>
      <c r="F43" s="15">
        <v>0</v>
      </c>
    </row>
    <row r="44" spans="1:7">
      <c r="A44" s="62"/>
      <c r="B44" s="62">
        <v>3</v>
      </c>
      <c r="C44" s="64" t="s">
        <v>582</v>
      </c>
      <c r="D44" s="15">
        <v>52</v>
      </c>
      <c r="E44" s="15">
        <v>0</v>
      </c>
      <c r="F44" s="15">
        <v>0</v>
      </c>
    </row>
    <row r="45" spans="1:7">
      <c r="A45" s="62"/>
      <c r="B45" s="62"/>
      <c r="C45" s="64" t="s">
        <v>583</v>
      </c>
      <c r="D45" s="15">
        <v>100</v>
      </c>
      <c r="E45" s="15">
        <v>0</v>
      </c>
      <c r="F45" s="15">
        <v>0</v>
      </c>
    </row>
    <row r="46" spans="1:7">
      <c r="A46" s="62"/>
      <c r="B46" s="62">
        <v>4</v>
      </c>
      <c r="C46" s="64" t="s">
        <v>582</v>
      </c>
      <c r="D46" s="15">
        <v>53</v>
      </c>
      <c r="E46" s="15">
        <v>0</v>
      </c>
      <c r="F46" s="15">
        <v>0</v>
      </c>
    </row>
    <row r="47" spans="1:7">
      <c r="A47" s="62"/>
      <c r="B47" s="62"/>
      <c r="C47" s="64" t="s">
        <v>583</v>
      </c>
      <c r="D47" s="15">
        <v>100</v>
      </c>
      <c r="E47" s="15">
        <v>0</v>
      </c>
      <c r="F47" s="15">
        <v>0</v>
      </c>
    </row>
    <row r="48" spans="1:7">
      <c r="A48" s="62"/>
      <c r="B48" s="65"/>
      <c r="C48" s="66" t="s">
        <v>709</v>
      </c>
      <c r="D48" s="15">
        <v>198</v>
      </c>
      <c r="E48" s="15">
        <v>0</v>
      </c>
      <c r="F48" s="15">
        <v>0</v>
      </c>
    </row>
    <row r="49" spans="1:7">
      <c r="A49" s="62"/>
      <c r="B49" s="65"/>
      <c r="C49" s="66" t="s">
        <v>710</v>
      </c>
      <c r="D49" s="15">
        <v>100</v>
      </c>
      <c r="E49" s="15">
        <v>0</v>
      </c>
      <c r="F49" s="15">
        <v>0</v>
      </c>
      <c r="G49" s="21" t="s">
        <v>705</v>
      </c>
    </row>
    <row r="50" spans="1:7">
      <c r="A50" s="62"/>
      <c r="B50" s="65"/>
      <c r="C50" s="61" t="s">
        <v>570</v>
      </c>
      <c r="D50" s="15">
        <v>0</v>
      </c>
      <c r="E50" s="15">
        <v>0</v>
      </c>
      <c r="F50" s="15">
        <v>0</v>
      </c>
      <c r="G50" s="15">
        <v>202</v>
      </c>
    </row>
  </sheetData>
  <mergeCells count="19">
    <mergeCell ref="A3:A13"/>
    <mergeCell ref="B16:B17"/>
    <mergeCell ref="B18:B19"/>
    <mergeCell ref="B20:B21"/>
    <mergeCell ref="B22:B23"/>
    <mergeCell ref="A16:A26"/>
    <mergeCell ref="B3:B4"/>
    <mergeCell ref="B5:B6"/>
    <mergeCell ref="B7:B8"/>
    <mergeCell ref="B9:B10"/>
    <mergeCell ref="A29:A37"/>
    <mergeCell ref="B40:B41"/>
    <mergeCell ref="B42:B43"/>
    <mergeCell ref="B44:B45"/>
    <mergeCell ref="B46:B47"/>
    <mergeCell ref="A40:A50"/>
    <mergeCell ref="B29:B30"/>
    <mergeCell ref="B31:B32"/>
    <mergeCell ref="B33:B3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62D4A-5F8D-5F48-AE59-9C330B8FB72D}">
  <dimension ref="A1:J93"/>
  <sheetViews>
    <sheetView zoomScale="75" workbookViewId="0">
      <pane ySplit="2" topLeftCell="A3" activePane="bottomLeft" state="frozen"/>
      <selection pane="bottomLeft" activeCell="H15" sqref="H15"/>
    </sheetView>
  </sheetViews>
  <sheetFormatPr baseColWidth="10" defaultRowHeight="16"/>
  <cols>
    <col min="1" max="1" width="28.5" style="18" bestFit="1" customWidth="1"/>
    <col min="2" max="2" width="23.33203125" style="18" bestFit="1" customWidth="1"/>
    <col min="3" max="3" width="36.83203125" style="18" bestFit="1" customWidth="1"/>
    <col min="4" max="4" width="31.33203125" style="18" bestFit="1" customWidth="1"/>
    <col min="5" max="5" width="28.83203125" style="18" bestFit="1" customWidth="1"/>
    <col min="6" max="6" width="21" style="18" bestFit="1" customWidth="1"/>
    <col min="7" max="7" width="25.6640625" style="18" bestFit="1" customWidth="1"/>
    <col min="8" max="8" width="23.33203125" style="18" bestFit="1" customWidth="1"/>
    <col min="9" max="9" width="15.5" style="18" bestFit="1" customWidth="1"/>
    <col min="10" max="10" width="20" style="18" bestFit="1" customWidth="1"/>
    <col min="11" max="16384" width="10.83203125" style="18"/>
  </cols>
  <sheetData>
    <row r="1" spans="1:10">
      <c r="A1" s="33" t="s">
        <v>585</v>
      </c>
    </row>
    <row r="2" spans="1:10">
      <c r="A2" s="12" t="s">
        <v>0</v>
      </c>
      <c r="B2" s="49" t="s">
        <v>586</v>
      </c>
      <c r="C2" s="49" t="s">
        <v>643</v>
      </c>
      <c r="D2" s="49" t="s">
        <v>644</v>
      </c>
      <c r="E2" s="49" t="s">
        <v>645</v>
      </c>
      <c r="F2" s="49" t="s">
        <v>575</v>
      </c>
      <c r="G2" s="32" t="s">
        <v>646</v>
      </c>
      <c r="H2" s="32" t="s">
        <v>647</v>
      </c>
      <c r="I2" s="32" t="s">
        <v>578</v>
      </c>
      <c r="J2" s="12" t="s">
        <v>491</v>
      </c>
    </row>
    <row r="3" spans="1:10">
      <c r="A3" s="41">
        <v>1</v>
      </c>
      <c r="B3" s="17" t="s">
        <v>49</v>
      </c>
      <c r="C3" s="17" t="s">
        <v>641</v>
      </c>
      <c r="D3" s="17">
        <v>0</v>
      </c>
      <c r="E3" s="17">
        <v>0</v>
      </c>
      <c r="F3" s="17">
        <v>3</v>
      </c>
      <c r="G3" s="17">
        <v>0</v>
      </c>
      <c r="H3" s="17">
        <v>0</v>
      </c>
      <c r="I3" s="17">
        <v>100</v>
      </c>
      <c r="J3" s="17">
        <v>3</v>
      </c>
    </row>
    <row r="4" spans="1:10">
      <c r="A4" s="41">
        <v>2</v>
      </c>
      <c r="B4" s="17" t="s">
        <v>49</v>
      </c>
      <c r="C4" s="17" t="s">
        <v>641</v>
      </c>
      <c r="D4" s="17">
        <v>0</v>
      </c>
      <c r="E4" s="17">
        <v>0</v>
      </c>
      <c r="F4" s="17">
        <v>2</v>
      </c>
      <c r="G4" s="17">
        <v>0</v>
      </c>
      <c r="H4" s="17">
        <v>0</v>
      </c>
      <c r="I4" s="17">
        <v>100</v>
      </c>
      <c r="J4" s="17">
        <v>2</v>
      </c>
    </row>
    <row r="5" spans="1:10">
      <c r="A5" s="55">
        <v>3</v>
      </c>
      <c r="B5" s="17" t="s">
        <v>49</v>
      </c>
      <c r="C5" s="17" t="s">
        <v>641</v>
      </c>
      <c r="D5" s="17">
        <v>0</v>
      </c>
      <c r="E5" s="17">
        <v>0</v>
      </c>
      <c r="F5" s="17">
        <v>2</v>
      </c>
      <c r="G5" s="17">
        <v>0</v>
      </c>
      <c r="H5" s="17">
        <v>0</v>
      </c>
      <c r="I5" s="17">
        <v>100</v>
      </c>
      <c r="J5" s="17">
        <v>2</v>
      </c>
    </row>
    <row r="6" spans="1:10">
      <c r="A6" s="41">
        <v>4</v>
      </c>
      <c r="B6" s="17" t="s">
        <v>49</v>
      </c>
      <c r="C6" s="17" t="s">
        <v>641</v>
      </c>
      <c r="D6" s="17">
        <v>0</v>
      </c>
      <c r="E6" s="17">
        <v>0</v>
      </c>
      <c r="F6" s="17">
        <v>2</v>
      </c>
      <c r="G6" s="17">
        <v>0</v>
      </c>
      <c r="H6" s="17">
        <v>0</v>
      </c>
      <c r="I6" s="17">
        <v>100</v>
      </c>
      <c r="J6" s="17">
        <v>2</v>
      </c>
    </row>
    <row r="7" spans="1:10">
      <c r="A7" s="41">
        <v>5</v>
      </c>
      <c r="B7" s="17" t="s">
        <v>49</v>
      </c>
      <c r="C7" s="17" t="s">
        <v>641</v>
      </c>
      <c r="D7" s="17">
        <v>0</v>
      </c>
      <c r="E7" s="17">
        <v>0</v>
      </c>
      <c r="F7" s="17">
        <v>2</v>
      </c>
      <c r="G7" s="17">
        <v>0</v>
      </c>
      <c r="H7" s="17">
        <v>0</v>
      </c>
      <c r="I7" s="17">
        <v>100</v>
      </c>
      <c r="J7" s="17">
        <v>2</v>
      </c>
    </row>
    <row r="8" spans="1:10">
      <c r="A8" s="55">
        <v>6</v>
      </c>
      <c r="B8" s="17" t="s">
        <v>49</v>
      </c>
      <c r="C8" s="17" t="s">
        <v>641</v>
      </c>
      <c r="D8" s="17">
        <v>0</v>
      </c>
      <c r="E8" s="17">
        <v>0</v>
      </c>
      <c r="F8" s="17">
        <v>2</v>
      </c>
      <c r="G8" s="17">
        <v>0</v>
      </c>
      <c r="H8" s="17">
        <v>0</v>
      </c>
      <c r="I8" s="17">
        <v>100</v>
      </c>
      <c r="J8" s="17">
        <v>2</v>
      </c>
    </row>
    <row r="9" spans="1:10">
      <c r="A9" s="41">
        <v>7</v>
      </c>
      <c r="B9" s="17" t="s">
        <v>49</v>
      </c>
      <c r="C9" s="17" t="s">
        <v>641</v>
      </c>
      <c r="D9" s="17">
        <v>0</v>
      </c>
      <c r="E9" s="17">
        <v>0</v>
      </c>
      <c r="F9" s="17">
        <v>3</v>
      </c>
      <c r="G9" s="17">
        <v>0</v>
      </c>
      <c r="H9" s="17">
        <v>0</v>
      </c>
      <c r="I9" s="17">
        <v>100</v>
      </c>
      <c r="J9" s="17">
        <v>3</v>
      </c>
    </row>
    <row r="10" spans="1:10">
      <c r="A10" s="41">
        <v>8</v>
      </c>
      <c r="B10" s="17" t="s">
        <v>49</v>
      </c>
      <c r="C10" s="17" t="s">
        <v>641</v>
      </c>
      <c r="D10" s="17">
        <v>0</v>
      </c>
      <c r="E10" s="17">
        <v>0</v>
      </c>
      <c r="F10" s="17">
        <v>1</v>
      </c>
      <c r="G10" s="17">
        <v>0</v>
      </c>
      <c r="H10" s="17">
        <v>0</v>
      </c>
      <c r="I10" s="17">
        <v>100</v>
      </c>
      <c r="J10" s="17">
        <v>1</v>
      </c>
    </row>
    <row r="11" spans="1:10">
      <c r="A11" s="55">
        <v>9</v>
      </c>
      <c r="B11" s="17" t="s">
        <v>49</v>
      </c>
      <c r="C11" s="17" t="s">
        <v>641</v>
      </c>
      <c r="D11" s="17">
        <v>0</v>
      </c>
      <c r="E11" s="17">
        <v>0</v>
      </c>
      <c r="F11" s="17">
        <v>2</v>
      </c>
      <c r="G11" s="17">
        <v>0</v>
      </c>
      <c r="H11" s="17">
        <v>0</v>
      </c>
      <c r="I11" s="17">
        <v>100</v>
      </c>
      <c r="J11" s="17">
        <v>2</v>
      </c>
    </row>
    <row r="12" spans="1:10">
      <c r="A12" s="41">
        <v>10</v>
      </c>
      <c r="B12" s="17" t="s">
        <v>49</v>
      </c>
      <c r="C12" s="17" t="s">
        <v>641</v>
      </c>
      <c r="D12" s="17">
        <v>0</v>
      </c>
      <c r="E12" s="17">
        <v>0</v>
      </c>
      <c r="F12" s="17">
        <v>2</v>
      </c>
      <c r="G12" s="17">
        <v>0</v>
      </c>
      <c r="H12" s="17">
        <v>0</v>
      </c>
      <c r="I12" s="17">
        <v>100</v>
      </c>
      <c r="J12" s="17">
        <v>2</v>
      </c>
    </row>
    <row r="13" spans="1:10">
      <c r="A13" s="41">
        <v>11</v>
      </c>
      <c r="B13" s="17" t="s">
        <v>49</v>
      </c>
      <c r="C13" s="17" t="s">
        <v>641</v>
      </c>
      <c r="D13" s="17">
        <v>0</v>
      </c>
      <c r="E13" s="17">
        <v>0</v>
      </c>
      <c r="F13" s="17">
        <v>1</v>
      </c>
      <c r="G13" s="17">
        <v>0</v>
      </c>
      <c r="H13" s="17">
        <v>0</v>
      </c>
      <c r="I13" s="17">
        <v>100</v>
      </c>
      <c r="J13" s="17">
        <v>1</v>
      </c>
    </row>
    <row r="14" spans="1:10">
      <c r="A14" s="55">
        <v>12</v>
      </c>
      <c r="B14" s="17" t="s">
        <v>49</v>
      </c>
      <c r="C14" s="17" t="s">
        <v>641</v>
      </c>
      <c r="D14" s="17">
        <v>0</v>
      </c>
      <c r="E14" s="17">
        <v>0</v>
      </c>
      <c r="F14" s="17">
        <v>2</v>
      </c>
      <c r="G14" s="17">
        <v>0</v>
      </c>
      <c r="H14" s="17">
        <v>0</v>
      </c>
      <c r="I14" s="17">
        <v>100</v>
      </c>
      <c r="J14" s="17">
        <v>2</v>
      </c>
    </row>
    <row r="15" spans="1:10">
      <c r="A15" s="41">
        <v>13</v>
      </c>
      <c r="B15" s="17" t="s">
        <v>49</v>
      </c>
      <c r="C15" s="17" t="s">
        <v>641</v>
      </c>
      <c r="D15" s="17">
        <v>0</v>
      </c>
      <c r="E15" s="17">
        <v>0</v>
      </c>
      <c r="F15" s="17">
        <v>3</v>
      </c>
      <c r="G15" s="17">
        <v>0</v>
      </c>
      <c r="H15" s="17">
        <v>0</v>
      </c>
      <c r="I15" s="17">
        <v>100</v>
      </c>
      <c r="J15" s="17">
        <v>3</v>
      </c>
    </row>
    <row r="16" spans="1:10">
      <c r="A16" s="41">
        <v>14</v>
      </c>
      <c r="B16" s="17" t="s">
        <v>49</v>
      </c>
      <c r="C16" s="17" t="s">
        <v>641</v>
      </c>
      <c r="D16" s="17">
        <v>0</v>
      </c>
      <c r="E16" s="17">
        <v>0</v>
      </c>
      <c r="F16" s="17">
        <v>2</v>
      </c>
      <c r="G16" s="17">
        <v>0</v>
      </c>
      <c r="H16" s="17">
        <v>0</v>
      </c>
      <c r="I16" s="17">
        <v>100</v>
      </c>
      <c r="J16" s="17">
        <v>2</v>
      </c>
    </row>
    <row r="17" spans="1:10">
      <c r="A17" s="55">
        <v>15</v>
      </c>
      <c r="B17" s="17" t="s">
        <v>49</v>
      </c>
      <c r="C17" s="17" t="s">
        <v>641</v>
      </c>
      <c r="D17" s="17">
        <v>0</v>
      </c>
      <c r="E17" s="17">
        <v>0</v>
      </c>
      <c r="F17" s="17">
        <v>2</v>
      </c>
      <c r="G17" s="17">
        <v>0</v>
      </c>
      <c r="H17" s="17">
        <v>0</v>
      </c>
      <c r="I17" s="17">
        <v>100</v>
      </c>
      <c r="J17" s="17">
        <v>2</v>
      </c>
    </row>
    <row r="18" spans="1:10">
      <c r="A18" s="41">
        <v>16</v>
      </c>
      <c r="B18" s="17" t="s">
        <v>49</v>
      </c>
      <c r="C18" s="17" t="s">
        <v>641</v>
      </c>
      <c r="D18" s="17">
        <v>0</v>
      </c>
      <c r="E18" s="17">
        <v>0</v>
      </c>
      <c r="F18" s="17">
        <v>2</v>
      </c>
      <c r="G18" s="17">
        <v>0</v>
      </c>
      <c r="H18" s="17">
        <v>0</v>
      </c>
      <c r="I18" s="17">
        <v>100</v>
      </c>
      <c r="J18" s="17">
        <v>2</v>
      </c>
    </row>
    <row r="19" spans="1:10">
      <c r="A19" s="41">
        <v>17</v>
      </c>
      <c r="B19" s="17" t="s">
        <v>49</v>
      </c>
      <c r="C19" s="17" t="s">
        <v>641</v>
      </c>
      <c r="D19" s="17">
        <v>0</v>
      </c>
      <c r="E19" s="17">
        <v>0</v>
      </c>
      <c r="F19" s="17">
        <v>1</v>
      </c>
      <c r="G19" s="17">
        <v>0</v>
      </c>
      <c r="H19" s="17">
        <v>0</v>
      </c>
      <c r="I19" s="17">
        <v>100</v>
      </c>
      <c r="J19" s="17">
        <v>1</v>
      </c>
    </row>
    <row r="20" spans="1:10">
      <c r="A20" s="55">
        <v>18</v>
      </c>
      <c r="B20" s="17" t="s">
        <v>49</v>
      </c>
      <c r="C20" s="17" t="s">
        <v>641</v>
      </c>
      <c r="D20" s="17">
        <v>0</v>
      </c>
      <c r="E20" s="17">
        <v>0</v>
      </c>
      <c r="F20" s="17">
        <v>3</v>
      </c>
      <c r="G20" s="17">
        <v>0</v>
      </c>
      <c r="H20" s="17">
        <v>0</v>
      </c>
      <c r="I20" s="17">
        <v>100</v>
      </c>
      <c r="J20" s="17">
        <v>3</v>
      </c>
    </row>
    <row r="21" spans="1:10">
      <c r="A21" s="41">
        <v>19</v>
      </c>
      <c r="B21" s="17" t="s">
        <v>49</v>
      </c>
      <c r="C21" s="17" t="s">
        <v>641</v>
      </c>
      <c r="D21" s="17">
        <v>0</v>
      </c>
      <c r="E21" s="17">
        <v>0</v>
      </c>
      <c r="F21" s="17">
        <v>2</v>
      </c>
      <c r="G21" s="17">
        <v>0</v>
      </c>
      <c r="H21" s="17">
        <v>0</v>
      </c>
      <c r="I21" s="17">
        <v>100</v>
      </c>
      <c r="J21" s="17">
        <v>2</v>
      </c>
    </row>
    <row r="22" spans="1:10">
      <c r="A22" s="41">
        <v>20</v>
      </c>
      <c r="B22" s="17" t="s">
        <v>49</v>
      </c>
      <c r="C22" s="17" t="s">
        <v>641</v>
      </c>
      <c r="D22" s="17">
        <v>0</v>
      </c>
      <c r="E22" s="17">
        <v>0</v>
      </c>
      <c r="F22" s="17">
        <v>2</v>
      </c>
      <c r="G22" s="17">
        <v>0</v>
      </c>
      <c r="H22" s="17">
        <v>0</v>
      </c>
      <c r="I22" s="17">
        <v>100</v>
      </c>
      <c r="J22" s="17">
        <v>2</v>
      </c>
    </row>
    <row r="23" spans="1:10">
      <c r="A23" s="55">
        <v>21</v>
      </c>
      <c r="B23" s="17" t="s">
        <v>49</v>
      </c>
      <c r="C23" s="17" t="s">
        <v>641</v>
      </c>
      <c r="D23" s="17">
        <v>0</v>
      </c>
      <c r="E23" s="17">
        <v>0</v>
      </c>
      <c r="F23" s="17">
        <v>3</v>
      </c>
      <c r="G23" s="17">
        <v>0</v>
      </c>
      <c r="H23" s="17">
        <v>0</v>
      </c>
      <c r="I23" s="17">
        <v>100</v>
      </c>
      <c r="J23" s="17">
        <v>3</v>
      </c>
    </row>
    <row r="24" spans="1:10">
      <c r="A24" s="41">
        <v>22</v>
      </c>
      <c r="B24" s="17" t="s">
        <v>49</v>
      </c>
      <c r="C24" s="17" t="s">
        <v>641</v>
      </c>
      <c r="D24" s="17">
        <v>0</v>
      </c>
      <c r="E24" s="17">
        <v>0</v>
      </c>
      <c r="F24" s="17">
        <v>2</v>
      </c>
      <c r="G24" s="17">
        <v>0</v>
      </c>
      <c r="H24" s="17">
        <v>0</v>
      </c>
      <c r="I24" s="17">
        <v>100</v>
      </c>
      <c r="J24" s="17">
        <v>2</v>
      </c>
    </row>
    <row r="25" spans="1:10">
      <c r="A25" s="41">
        <v>23</v>
      </c>
      <c r="B25" s="17" t="s">
        <v>49</v>
      </c>
      <c r="C25" s="17" t="s">
        <v>641</v>
      </c>
      <c r="D25" s="17">
        <v>0</v>
      </c>
      <c r="E25" s="17">
        <v>0</v>
      </c>
      <c r="F25" s="17">
        <v>3</v>
      </c>
      <c r="G25" s="17">
        <v>0</v>
      </c>
      <c r="H25" s="17">
        <v>0</v>
      </c>
      <c r="I25" s="17">
        <v>100</v>
      </c>
      <c r="J25" s="17">
        <v>3</v>
      </c>
    </row>
    <row r="26" spans="1:10">
      <c r="A26" s="55">
        <v>24</v>
      </c>
      <c r="B26" s="17" t="s">
        <v>49</v>
      </c>
      <c r="C26" s="17" t="s">
        <v>641</v>
      </c>
      <c r="D26" s="17">
        <v>0</v>
      </c>
      <c r="E26" s="17">
        <v>0</v>
      </c>
      <c r="F26" s="17">
        <v>2</v>
      </c>
      <c r="G26" s="17">
        <v>0</v>
      </c>
      <c r="H26" s="17">
        <v>0</v>
      </c>
      <c r="I26" s="17">
        <v>100</v>
      </c>
      <c r="J26" s="17">
        <v>2</v>
      </c>
    </row>
    <row r="27" spans="1:10">
      <c r="A27" s="41">
        <v>25</v>
      </c>
      <c r="B27" s="17" t="s">
        <v>49</v>
      </c>
      <c r="C27" s="17" t="s">
        <v>641</v>
      </c>
      <c r="D27" s="17">
        <v>0</v>
      </c>
      <c r="E27" s="17">
        <v>0</v>
      </c>
      <c r="F27" s="17">
        <v>2</v>
      </c>
      <c r="G27" s="17">
        <v>0</v>
      </c>
      <c r="H27" s="17">
        <v>0</v>
      </c>
      <c r="I27" s="17">
        <v>100</v>
      </c>
      <c r="J27" s="17">
        <v>2</v>
      </c>
    </row>
    <row r="28" spans="1:10">
      <c r="A28" s="41">
        <v>26</v>
      </c>
      <c r="B28" s="17" t="s">
        <v>49</v>
      </c>
      <c r="C28" s="17" t="s">
        <v>641</v>
      </c>
      <c r="D28" s="17">
        <v>0</v>
      </c>
      <c r="E28" s="17">
        <v>0</v>
      </c>
      <c r="F28" s="17">
        <v>2</v>
      </c>
      <c r="G28" s="17">
        <v>0</v>
      </c>
      <c r="H28" s="17">
        <v>0</v>
      </c>
      <c r="I28" s="17">
        <v>100</v>
      </c>
      <c r="J28" s="17">
        <v>2</v>
      </c>
    </row>
    <row r="29" spans="1:10">
      <c r="A29" s="55">
        <v>27</v>
      </c>
      <c r="B29" s="17" t="s">
        <v>49</v>
      </c>
      <c r="C29" s="17" t="s">
        <v>641</v>
      </c>
      <c r="D29" s="17">
        <v>0</v>
      </c>
      <c r="E29" s="17">
        <v>0</v>
      </c>
      <c r="F29" s="17">
        <v>3</v>
      </c>
      <c r="G29" s="17">
        <v>0</v>
      </c>
      <c r="H29" s="17">
        <v>0</v>
      </c>
      <c r="I29" s="17">
        <v>100</v>
      </c>
      <c r="J29" s="17">
        <v>3</v>
      </c>
    </row>
    <row r="30" spans="1:10">
      <c r="A30" s="41">
        <v>28</v>
      </c>
      <c r="B30" s="17" t="s">
        <v>49</v>
      </c>
      <c r="C30" s="17" t="s">
        <v>641</v>
      </c>
      <c r="D30" s="17">
        <v>0</v>
      </c>
      <c r="E30" s="17">
        <v>0</v>
      </c>
      <c r="F30" s="17">
        <v>2</v>
      </c>
      <c r="G30" s="17">
        <v>0</v>
      </c>
      <c r="H30" s="17">
        <v>0</v>
      </c>
      <c r="I30" s="17">
        <v>100</v>
      </c>
      <c r="J30" s="17">
        <v>2</v>
      </c>
    </row>
    <row r="31" spans="1:10">
      <c r="A31" s="41">
        <v>29</v>
      </c>
      <c r="B31" s="17" t="s">
        <v>49</v>
      </c>
      <c r="C31" s="17" t="s">
        <v>641</v>
      </c>
      <c r="D31" s="17">
        <v>0</v>
      </c>
      <c r="E31" s="17">
        <v>0</v>
      </c>
      <c r="F31" s="17">
        <v>1</v>
      </c>
      <c r="G31" s="17">
        <v>0</v>
      </c>
      <c r="H31" s="17">
        <v>0</v>
      </c>
      <c r="I31" s="17">
        <v>100</v>
      </c>
      <c r="J31" s="17">
        <v>1</v>
      </c>
    </row>
    <row r="32" spans="1:10">
      <c r="A32" s="55">
        <v>30</v>
      </c>
      <c r="B32" s="17" t="s">
        <v>49</v>
      </c>
      <c r="C32" s="17" t="s">
        <v>641</v>
      </c>
      <c r="D32" s="17">
        <v>0</v>
      </c>
      <c r="E32" s="17">
        <v>0</v>
      </c>
      <c r="F32" s="17">
        <v>2</v>
      </c>
      <c r="G32" s="17">
        <v>0</v>
      </c>
      <c r="H32" s="17">
        <v>0</v>
      </c>
      <c r="I32" s="17">
        <v>100</v>
      </c>
      <c r="J32" s="17">
        <v>2</v>
      </c>
    </row>
    <row r="33" spans="1:10">
      <c r="A33" s="41">
        <v>31</v>
      </c>
      <c r="B33" s="17" t="s">
        <v>49</v>
      </c>
      <c r="C33" s="17" t="s">
        <v>641</v>
      </c>
      <c r="D33" s="17">
        <v>0</v>
      </c>
      <c r="E33" s="17">
        <v>0</v>
      </c>
      <c r="F33" s="17">
        <v>1</v>
      </c>
      <c r="G33" s="17">
        <v>0</v>
      </c>
      <c r="H33" s="17">
        <v>0</v>
      </c>
      <c r="I33" s="17">
        <v>100</v>
      </c>
      <c r="J33" s="17">
        <v>1</v>
      </c>
    </row>
    <row r="34" spans="1:10">
      <c r="A34" s="41">
        <v>32</v>
      </c>
      <c r="B34" s="17" t="s">
        <v>49</v>
      </c>
      <c r="C34" s="17" t="s">
        <v>641</v>
      </c>
      <c r="D34" s="17">
        <v>0</v>
      </c>
      <c r="E34" s="17">
        <v>0</v>
      </c>
      <c r="F34" s="17">
        <v>3</v>
      </c>
      <c r="G34" s="17">
        <v>0</v>
      </c>
      <c r="H34" s="17">
        <v>0</v>
      </c>
      <c r="I34" s="17">
        <v>100</v>
      </c>
      <c r="J34" s="17">
        <v>3</v>
      </c>
    </row>
    <row r="35" spans="1:10">
      <c r="A35" s="55">
        <v>33</v>
      </c>
      <c r="B35" s="17" t="s">
        <v>49</v>
      </c>
      <c r="C35" s="17" t="s">
        <v>641</v>
      </c>
      <c r="D35" s="17">
        <v>0</v>
      </c>
      <c r="E35" s="17">
        <v>0</v>
      </c>
      <c r="F35" s="17">
        <v>1</v>
      </c>
      <c r="G35" s="17">
        <v>0</v>
      </c>
      <c r="H35" s="17">
        <v>0</v>
      </c>
      <c r="I35" s="17">
        <v>100</v>
      </c>
      <c r="J35" s="17">
        <v>1</v>
      </c>
    </row>
    <row r="36" spans="1:10">
      <c r="A36" s="41">
        <v>34</v>
      </c>
      <c r="B36" s="17" t="s">
        <v>49</v>
      </c>
      <c r="C36" s="17" t="s">
        <v>641</v>
      </c>
      <c r="D36" s="17">
        <v>0</v>
      </c>
      <c r="E36" s="17">
        <v>0</v>
      </c>
      <c r="F36" s="17">
        <v>2</v>
      </c>
      <c r="G36" s="17">
        <v>0</v>
      </c>
      <c r="H36" s="17">
        <v>0</v>
      </c>
      <c r="I36" s="17">
        <v>100</v>
      </c>
      <c r="J36" s="17">
        <v>2</v>
      </c>
    </row>
    <row r="37" spans="1:10">
      <c r="A37" s="41">
        <v>35</v>
      </c>
      <c r="B37" s="17" t="s">
        <v>49</v>
      </c>
      <c r="C37" s="17" t="s">
        <v>641</v>
      </c>
      <c r="D37" s="17">
        <v>0</v>
      </c>
      <c r="E37" s="17">
        <v>0</v>
      </c>
      <c r="F37" s="17">
        <v>2</v>
      </c>
      <c r="G37" s="17">
        <v>0</v>
      </c>
      <c r="H37" s="17">
        <v>0</v>
      </c>
      <c r="I37" s="17">
        <v>100</v>
      </c>
      <c r="J37" s="17">
        <v>2</v>
      </c>
    </row>
    <row r="38" spans="1:10">
      <c r="A38" s="55">
        <v>36</v>
      </c>
      <c r="B38" s="17" t="s">
        <v>49</v>
      </c>
      <c r="C38" s="17" t="s">
        <v>641</v>
      </c>
      <c r="D38" s="17">
        <v>0</v>
      </c>
      <c r="E38" s="17">
        <v>0</v>
      </c>
      <c r="F38" s="17">
        <v>1</v>
      </c>
      <c r="G38" s="17">
        <v>0</v>
      </c>
      <c r="H38" s="17">
        <v>0</v>
      </c>
      <c r="I38" s="17">
        <v>100</v>
      </c>
      <c r="J38" s="17">
        <v>1</v>
      </c>
    </row>
    <row r="39" spans="1:10">
      <c r="A39" s="41">
        <v>37</v>
      </c>
      <c r="B39" s="17" t="s">
        <v>49</v>
      </c>
      <c r="C39" s="17" t="s">
        <v>641</v>
      </c>
      <c r="D39" s="17">
        <v>0</v>
      </c>
      <c r="E39" s="17">
        <v>0</v>
      </c>
      <c r="F39" s="17">
        <v>1</v>
      </c>
      <c r="G39" s="17">
        <v>0</v>
      </c>
      <c r="H39" s="17">
        <v>0</v>
      </c>
      <c r="I39" s="17">
        <v>100</v>
      </c>
      <c r="J39" s="17">
        <v>1</v>
      </c>
    </row>
    <row r="40" spans="1:10">
      <c r="A40" s="41">
        <v>38</v>
      </c>
      <c r="B40" s="17" t="s">
        <v>49</v>
      </c>
      <c r="C40" s="17" t="s">
        <v>641</v>
      </c>
      <c r="D40" s="17">
        <v>0</v>
      </c>
      <c r="E40" s="17">
        <v>0</v>
      </c>
      <c r="F40" s="17">
        <v>3</v>
      </c>
      <c r="G40" s="17">
        <v>0</v>
      </c>
      <c r="H40" s="17">
        <v>0</v>
      </c>
      <c r="I40" s="17">
        <v>100</v>
      </c>
      <c r="J40" s="17">
        <v>3</v>
      </c>
    </row>
    <row r="41" spans="1:10">
      <c r="A41" s="55">
        <v>39</v>
      </c>
      <c r="B41" s="17" t="s">
        <v>49</v>
      </c>
      <c r="C41" s="17" t="s">
        <v>641</v>
      </c>
      <c r="D41" s="17">
        <v>0</v>
      </c>
      <c r="E41" s="17">
        <v>0</v>
      </c>
      <c r="F41" s="17">
        <v>2</v>
      </c>
      <c r="G41" s="17">
        <v>0</v>
      </c>
      <c r="H41" s="17">
        <v>0</v>
      </c>
      <c r="I41" s="17">
        <v>100</v>
      </c>
      <c r="J41" s="17">
        <v>2</v>
      </c>
    </row>
    <row r="42" spans="1:10">
      <c r="A42" s="41">
        <v>40</v>
      </c>
      <c r="B42" s="17" t="s">
        <v>49</v>
      </c>
      <c r="C42" s="17" t="s">
        <v>641</v>
      </c>
      <c r="D42" s="17">
        <v>0</v>
      </c>
      <c r="E42" s="17">
        <v>0</v>
      </c>
      <c r="F42" s="17">
        <v>2</v>
      </c>
      <c r="G42" s="17">
        <v>0</v>
      </c>
      <c r="H42" s="17">
        <v>0</v>
      </c>
      <c r="I42" s="17">
        <v>100</v>
      </c>
      <c r="J42" s="17">
        <v>2</v>
      </c>
    </row>
    <row r="43" spans="1:10">
      <c r="A43" s="41">
        <v>41</v>
      </c>
      <c r="B43" s="17" t="s">
        <v>49</v>
      </c>
      <c r="C43" s="17" t="s">
        <v>641</v>
      </c>
      <c r="D43" s="17">
        <v>0</v>
      </c>
      <c r="E43" s="17">
        <v>0</v>
      </c>
      <c r="F43" s="17">
        <v>2</v>
      </c>
      <c r="G43" s="17">
        <v>0</v>
      </c>
      <c r="H43" s="17">
        <v>0</v>
      </c>
      <c r="I43" s="17">
        <v>100</v>
      </c>
      <c r="J43" s="17">
        <v>2</v>
      </c>
    </row>
    <row r="44" spans="1:10">
      <c r="A44" s="55">
        <v>42</v>
      </c>
      <c r="B44" s="17" t="s">
        <v>49</v>
      </c>
      <c r="C44" s="17" t="s">
        <v>641</v>
      </c>
      <c r="D44" s="17">
        <v>0</v>
      </c>
      <c r="E44" s="17">
        <v>0</v>
      </c>
      <c r="F44" s="17">
        <v>2</v>
      </c>
      <c r="G44" s="17">
        <v>0</v>
      </c>
      <c r="H44" s="17">
        <v>0</v>
      </c>
      <c r="I44" s="17">
        <v>100</v>
      </c>
      <c r="J44" s="17">
        <v>2</v>
      </c>
    </row>
    <row r="45" spans="1:10">
      <c r="A45" s="41">
        <v>43</v>
      </c>
      <c r="B45" s="17" t="s">
        <v>49</v>
      </c>
      <c r="C45" s="17" t="s">
        <v>641</v>
      </c>
      <c r="D45" s="17">
        <v>0</v>
      </c>
      <c r="E45" s="17">
        <v>0</v>
      </c>
      <c r="F45" s="17">
        <v>2</v>
      </c>
      <c r="G45" s="17">
        <v>0</v>
      </c>
      <c r="H45" s="17">
        <v>0</v>
      </c>
      <c r="I45" s="17">
        <v>100</v>
      </c>
      <c r="J45" s="17">
        <v>2</v>
      </c>
    </row>
    <row r="46" spans="1:10">
      <c r="A46" s="41">
        <v>44</v>
      </c>
      <c r="B46" s="17" t="s">
        <v>49</v>
      </c>
      <c r="C46" s="17" t="s">
        <v>641</v>
      </c>
      <c r="D46" s="17">
        <v>0</v>
      </c>
      <c r="E46" s="17">
        <v>0</v>
      </c>
      <c r="F46" s="17">
        <v>3</v>
      </c>
      <c r="G46" s="17">
        <v>0</v>
      </c>
      <c r="H46" s="17">
        <v>0</v>
      </c>
      <c r="I46" s="17">
        <v>100</v>
      </c>
      <c r="J46" s="17">
        <v>3</v>
      </c>
    </row>
    <row r="47" spans="1:10">
      <c r="A47" s="55">
        <v>45</v>
      </c>
      <c r="B47" s="17" t="s">
        <v>49</v>
      </c>
      <c r="C47" s="17" t="s">
        <v>641</v>
      </c>
      <c r="D47" s="17">
        <v>0</v>
      </c>
      <c r="E47" s="17">
        <v>0</v>
      </c>
      <c r="F47" s="17">
        <v>3</v>
      </c>
      <c r="G47" s="17">
        <v>0</v>
      </c>
      <c r="H47" s="17">
        <v>0</v>
      </c>
      <c r="I47" s="17">
        <v>100</v>
      </c>
      <c r="J47" s="17">
        <v>3</v>
      </c>
    </row>
    <row r="48" spans="1:10">
      <c r="A48" s="41">
        <v>46</v>
      </c>
      <c r="B48" s="17" t="s">
        <v>49</v>
      </c>
      <c r="C48" s="17" t="s">
        <v>641</v>
      </c>
      <c r="D48" s="17">
        <v>0</v>
      </c>
      <c r="E48" s="17">
        <v>0</v>
      </c>
      <c r="F48" s="17">
        <v>3</v>
      </c>
      <c r="G48" s="17">
        <v>0</v>
      </c>
      <c r="H48" s="17">
        <v>0</v>
      </c>
      <c r="I48" s="17">
        <v>100</v>
      </c>
      <c r="J48" s="17">
        <v>3</v>
      </c>
    </row>
    <row r="49" spans="1:10">
      <c r="A49" s="41">
        <v>47</v>
      </c>
      <c r="B49" s="17" t="s">
        <v>49</v>
      </c>
      <c r="C49" s="17" t="s">
        <v>641</v>
      </c>
      <c r="D49" s="17">
        <v>0</v>
      </c>
      <c r="E49" s="17">
        <v>0</v>
      </c>
      <c r="F49" s="17">
        <v>2</v>
      </c>
      <c r="G49" s="17">
        <v>0</v>
      </c>
      <c r="H49" s="17">
        <v>0</v>
      </c>
      <c r="I49" s="17">
        <v>100</v>
      </c>
      <c r="J49" s="17">
        <v>2</v>
      </c>
    </row>
    <row r="50" spans="1:10">
      <c r="A50" s="55">
        <v>48</v>
      </c>
      <c r="B50" s="17" t="s">
        <v>49</v>
      </c>
      <c r="C50" s="17" t="s">
        <v>641</v>
      </c>
      <c r="D50" s="17">
        <v>0</v>
      </c>
      <c r="E50" s="17">
        <v>0</v>
      </c>
      <c r="F50" s="17">
        <v>2</v>
      </c>
      <c r="G50" s="17">
        <v>0</v>
      </c>
      <c r="H50" s="17">
        <v>0</v>
      </c>
      <c r="I50" s="17">
        <v>100</v>
      </c>
      <c r="J50" s="17">
        <v>2</v>
      </c>
    </row>
    <row r="51" spans="1:10">
      <c r="A51" s="41">
        <v>49</v>
      </c>
      <c r="B51" s="17" t="s">
        <v>49</v>
      </c>
      <c r="C51" s="17" t="s">
        <v>641</v>
      </c>
      <c r="D51" s="17">
        <v>0</v>
      </c>
      <c r="E51" s="17">
        <v>0</v>
      </c>
      <c r="F51" s="17">
        <v>2</v>
      </c>
      <c r="G51" s="17">
        <v>0</v>
      </c>
      <c r="H51" s="17">
        <v>0</v>
      </c>
      <c r="I51" s="17">
        <v>100</v>
      </c>
      <c r="J51" s="17">
        <v>2</v>
      </c>
    </row>
    <row r="52" spans="1:10">
      <c r="A52" s="41">
        <v>50</v>
      </c>
      <c r="B52" s="17" t="s">
        <v>49</v>
      </c>
      <c r="C52" s="17" t="s">
        <v>641</v>
      </c>
      <c r="D52" s="17">
        <v>0</v>
      </c>
      <c r="E52" s="17">
        <v>0</v>
      </c>
      <c r="F52" s="17">
        <v>2</v>
      </c>
      <c r="G52" s="17">
        <v>0</v>
      </c>
      <c r="H52" s="17">
        <v>0</v>
      </c>
      <c r="I52" s="17">
        <v>100</v>
      </c>
      <c r="J52" s="17">
        <v>2</v>
      </c>
    </row>
    <row r="53" spans="1:10">
      <c r="A53" s="55">
        <v>51</v>
      </c>
      <c r="B53" s="17" t="s">
        <v>49</v>
      </c>
      <c r="C53" s="17" t="s">
        <v>641</v>
      </c>
      <c r="D53" s="17">
        <v>0</v>
      </c>
      <c r="E53" s="17">
        <v>0</v>
      </c>
      <c r="F53" s="17">
        <v>3</v>
      </c>
      <c r="G53" s="17">
        <v>0</v>
      </c>
      <c r="H53" s="17">
        <v>0</v>
      </c>
      <c r="I53" s="17">
        <v>100</v>
      </c>
      <c r="J53" s="17">
        <v>3</v>
      </c>
    </row>
    <row r="54" spans="1:10">
      <c r="A54" s="16" t="s">
        <v>498</v>
      </c>
      <c r="B54" s="45"/>
      <c r="C54" s="35"/>
      <c r="D54" s="45"/>
      <c r="F54" s="51" t="s">
        <v>22</v>
      </c>
      <c r="G54" s="52">
        <v>0</v>
      </c>
      <c r="H54" s="52">
        <v>0</v>
      </c>
      <c r="I54" s="52">
        <v>100</v>
      </c>
      <c r="J54" s="53" t="s">
        <v>492</v>
      </c>
    </row>
    <row r="55" spans="1:10">
      <c r="A55" s="35"/>
      <c r="B55" s="45"/>
      <c r="C55" s="35"/>
      <c r="D55" s="45"/>
      <c r="F55" s="51" t="s">
        <v>570</v>
      </c>
      <c r="G55" s="52">
        <v>0</v>
      </c>
      <c r="H55" s="52">
        <v>0</v>
      </c>
      <c r="I55" s="52">
        <v>0</v>
      </c>
      <c r="J55" s="54">
        <v>107</v>
      </c>
    </row>
    <row r="57" spans="1:10">
      <c r="A57" s="25" t="s">
        <v>675</v>
      </c>
      <c r="B57" s="25" t="s">
        <v>735</v>
      </c>
      <c r="C57" s="25" t="s">
        <v>641</v>
      </c>
      <c r="D57" s="25">
        <v>0</v>
      </c>
      <c r="E57" s="25">
        <v>0</v>
      </c>
      <c r="F57" s="25">
        <v>59</v>
      </c>
      <c r="G57" s="25"/>
      <c r="H57" s="25"/>
      <c r="I57" s="25"/>
      <c r="J57" s="25"/>
    </row>
    <row r="58" spans="1:10">
      <c r="A58" s="25" t="s">
        <v>676</v>
      </c>
      <c r="B58" s="25" t="s">
        <v>735</v>
      </c>
      <c r="C58" s="25" t="s">
        <v>641</v>
      </c>
      <c r="D58" s="25">
        <v>0</v>
      </c>
      <c r="E58" s="25">
        <v>1</v>
      </c>
      <c r="F58" s="25">
        <v>58</v>
      </c>
      <c r="G58" s="25"/>
      <c r="H58" s="25"/>
      <c r="I58" s="25"/>
      <c r="J58" s="25"/>
    </row>
    <row r="59" spans="1:10">
      <c r="A59" s="50" t="s">
        <v>677</v>
      </c>
      <c r="B59" s="50" t="s">
        <v>735</v>
      </c>
      <c r="C59" s="50" t="s">
        <v>641</v>
      </c>
      <c r="D59" s="50">
        <v>0</v>
      </c>
      <c r="E59" s="50">
        <v>1</v>
      </c>
      <c r="F59" s="50">
        <v>117</v>
      </c>
      <c r="G59" s="50">
        <v>0</v>
      </c>
      <c r="H59" s="50">
        <v>0.84745762711864403</v>
      </c>
      <c r="I59" s="50">
        <v>99.152542372881356</v>
      </c>
      <c r="J59" s="50">
        <v>118</v>
      </c>
    </row>
    <row r="60" spans="1:10">
      <c r="A60" s="25" t="s">
        <v>678</v>
      </c>
      <c r="B60" s="25" t="s">
        <v>735</v>
      </c>
      <c r="C60" s="25" t="s">
        <v>641</v>
      </c>
      <c r="D60" s="25">
        <v>0</v>
      </c>
      <c r="E60" s="25">
        <v>0</v>
      </c>
      <c r="F60" s="25">
        <v>59</v>
      </c>
      <c r="G60" s="25"/>
      <c r="H60" s="25"/>
      <c r="I60" s="25"/>
      <c r="J60" s="25"/>
    </row>
    <row r="61" spans="1:10">
      <c r="A61" s="25" t="s">
        <v>679</v>
      </c>
      <c r="B61" s="25" t="s">
        <v>735</v>
      </c>
      <c r="C61" s="25" t="s">
        <v>641</v>
      </c>
      <c r="D61" s="25">
        <v>0</v>
      </c>
      <c r="E61" s="25">
        <v>0</v>
      </c>
      <c r="F61" s="25">
        <v>73</v>
      </c>
      <c r="G61" s="25"/>
      <c r="H61" s="25"/>
      <c r="I61" s="25"/>
      <c r="J61" s="25"/>
    </row>
    <row r="62" spans="1:10">
      <c r="A62" s="50" t="s">
        <v>680</v>
      </c>
      <c r="B62" s="50" t="s">
        <v>735</v>
      </c>
      <c r="C62" s="50" t="s">
        <v>641</v>
      </c>
      <c r="D62" s="50">
        <v>0</v>
      </c>
      <c r="E62" s="50">
        <v>0</v>
      </c>
      <c r="F62" s="50">
        <v>132</v>
      </c>
      <c r="G62" s="50">
        <v>0</v>
      </c>
      <c r="H62" s="50">
        <v>0</v>
      </c>
      <c r="I62" s="50">
        <v>100</v>
      </c>
      <c r="J62" s="50">
        <v>132</v>
      </c>
    </row>
    <row r="63" spans="1:10">
      <c r="A63" s="25" t="s">
        <v>681</v>
      </c>
      <c r="B63" s="25" t="s">
        <v>735</v>
      </c>
      <c r="C63" s="25" t="s">
        <v>641</v>
      </c>
      <c r="D63" s="25">
        <v>0</v>
      </c>
      <c r="E63" s="25">
        <v>0</v>
      </c>
      <c r="F63" s="25">
        <v>46</v>
      </c>
      <c r="G63" s="25"/>
      <c r="H63" s="25"/>
      <c r="I63" s="25"/>
      <c r="J63" s="25"/>
    </row>
    <row r="64" spans="1:10">
      <c r="A64" s="25" t="s">
        <v>682</v>
      </c>
      <c r="B64" s="25" t="s">
        <v>735</v>
      </c>
      <c r="C64" s="25" t="s">
        <v>641</v>
      </c>
      <c r="D64" s="25">
        <v>0</v>
      </c>
      <c r="E64" s="25">
        <v>0</v>
      </c>
      <c r="F64" s="25">
        <v>67</v>
      </c>
      <c r="G64" s="25"/>
      <c r="H64" s="25"/>
      <c r="I64" s="25"/>
      <c r="J64" s="25"/>
    </row>
    <row r="65" spans="1:10">
      <c r="A65" s="50" t="s">
        <v>683</v>
      </c>
      <c r="B65" s="50" t="s">
        <v>735</v>
      </c>
      <c r="C65" s="50" t="s">
        <v>641</v>
      </c>
      <c r="D65" s="50">
        <v>0</v>
      </c>
      <c r="E65" s="50">
        <v>0</v>
      </c>
      <c r="F65" s="50">
        <v>113</v>
      </c>
      <c r="G65" s="50">
        <v>0</v>
      </c>
      <c r="H65" s="50">
        <v>0</v>
      </c>
      <c r="I65" s="50">
        <v>100</v>
      </c>
      <c r="J65" s="50">
        <v>113</v>
      </c>
    </row>
    <row r="66" spans="1:10">
      <c r="A66" s="25" t="s">
        <v>684</v>
      </c>
      <c r="B66" s="25" t="s">
        <v>735</v>
      </c>
      <c r="C66" s="25" t="s">
        <v>641</v>
      </c>
      <c r="D66" s="25">
        <v>0</v>
      </c>
      <c r="E66" s="25">
        <v>0</v>
      </c>
      <c r="F66" s="25">
        <v>44</v>
      </c>
      <c r="G66" s="25"/>
      <c r="H66" s="25"/>
      <c r="I66" s="25"/>
      <c r="J66" s="25"/>
    </row>
    <row r="67" spans="1:10">
      <c r="A67" s="25" t="s">
        <v>685</v>
      </c>
      <c r="B67" s="25" t="s">
        <v>735</v>
      </c>
      <c r="C67" s="25" t="s">
        <v>641</v>
      </c>
      <c r="D67" s="25">
        <v>1</v>
      </c>
      <c r="E67" s="25">
        <v>0</v>
      </c>
      <c r="F67" s="25">
        <v>74</v>
      </c>
      <c r="G67" s="25"/>
      <c r="H67" s="25"/>
      <c r="I67" s="25"/>
      <c r="J67" s="25"/>
    </row>
    <row r="68" spans="1:10">
      <c r="A68" s="50" t="s">
        <v>686</v>
      </c>
      <c r="B68" s="50" t="s">
        <v>735</v>
      </c>
      <c r="C68" s="50" t="s">
        <v>641</v>
      </c>
      <c r="D68" s="50">
        <v>1</v>
      </c>
      <c r="E68" s="50">
        <v>0</v>
      </c>
      <c r="F68" s="50">
        <v>118</v>
      </c>
      <c r="G68" s="50">
        <v>0.84033613445378152</v>
      </c>
      <c r="H68" s="50">
        <v>0</v>
      </c>
      <c r="I68" s="50">
        <v>99.159663865546221</v>
      </c>
      <c r="J68" s="50">
        <v>119</v>
      </c>
    </row>
    <row r="69" spans="1:10">
      <c r="A69" s="25" t="s">
        <v>687</v>
      </c>
      <c r="B69" s="25" t="s">
        <v>735</v>
      </c>
      <c r="C69" s="25" t="s">
        <v>641</v>
      </c>
      <c r="D69" s="25">
        <v>0</v>
      </c>
      <c r="E69" s="25">
        <v>0</v>
      </c>
      <c r="F69" s="25">
        <v>37</v>
      </c>
      <c r="G69" s="25"/>
      <c r="H69" s="25"/>
      <c r="I69" s="25"/>
      <c r="J69" s="25"/>
    </row>
    <row r="70" spans="1:10">
      <c r="A70" s="25" t="s">
        <v>688</v>
      </c>
      <c r="B70" s="25" t="s">
        <v>735</v>
      </c>
      <c r="C70" s="25" t="s">
        <v>641</v>
      </c>
      <c r="D70" s="25">
        <v>0</v>
      </c>
      <c r="E70" s="25">
        <v>0</v>
      </c>
      <c r="F70" s="25">
        <v>44</v>
      </c>
      <c r="G70" s="25"/>
      <c r="H70" s="25"/>
      <c r="I70" s="25"/>
      <c r="J70" s="25"/>
    </row>
    <row r="71" spans="1:10">
      <c r="A71" s="50" t="s">
        <v>689</v>
      </c>
      <c r="B71" s="50" t="s">
        <v>735</v>
      </c>
      <c r="C71" s="50" t="s">
        <v>641</v>
      </c>
      <c r="D71" s="50">
        <v>0</v>
      </c>
      <c r="E71" s="50">
        <v>0</v>
      </c>
      <c r="F71" s="50">
        <v>81</v>
      </c>
      <c r="G71" s="50">
        <v>0</v>
      </c>
      <c r="H71" s="50">
        <v>0</v>
      </c>
      <c r="I71" s="50">
        <v>100</v>
      </c>
      <c r="J71" s="50">
        <v>81</v>
      </c>
    </row>
    <row r="72" spans="1:10">
      <c r="A72" s="25" t="s">
        <v>690</v>
      </c>
      <c r="B72" s="25" t="s">
        <v>735</v>
      </c>
      <c r="C72" s="25" t="s">
        <v>641</v>
      </c>
      <c r="D72" s="25">
        <v>0</v>
      </c>
      <c r="E72" s="25">
        <v>0</v>
      </c>
      <c r="F72" s="25">
        <v>49</v>
      </c>
      <c r="G72" s="25"/>
      <c r="H72" s="25"/>
      <c r="I72" s="25"/>
      <c r="J72" s="25"/>
    </row>
    <row r="73" spans="1:10">
      <c r="A73" s="25" t="s">
        <v>691</v>
      </c>
      <c r="B73" s="25" t="s">
        <v>735</v>
      </c>
      <c r="C73" s="25" t="s">
        <v>641</v>
      </c>
      <c r="D73" s="25">
        <v>0</v>
      </c>
      <c r="E73" s="25">
        <v>0</v>
      </c>
      <c r="F73" s="25">
        <v>53</v>
      </c>
      <c r="G73" s="25"/>
      <c r="H73" s="25"/>
      <c r="I73" s="25"/>
      <c r="J73" s="25"/>
    </row>
    <row r="74" spans="1:10">
      <c r="A74" s="50" t="s">
        <v>692</v>
      </c>
      <c r="B74" s="50" t="s">
        <v>735</v>
      </c>
      <c r="C74" s="50" t="s">
        <v>641</v>
      </c>
      <c r="D74" s="50">
        <v>0</v>
      </c>
      <c r="E74" s="50">
        <v>0</v>
      </c>
      <c r="F74" s="50">
        <v>102</v>
      </c>
      <c r="G74" s="50">
        <v>0</v>
      </c>
      <c r="H74" s="50">
        <v>0</v>
      </c>
      <c r="I74" s="50">
        <v>100</v>
      </c>
      <c r="J74" s="50">
        <v>102</v>
      </c>
    </row>
    <row r="75" spans="1:10">
      <c r="A75" s="25" t="s">
        <v>693</v>
      </c>
      <c r="B75" s="25" t="s">
        <v>735</v>
      </c>
      <c r="C75" s="25" t="s">
        <v>641</v>
      </c>
      <c r="D75" s="25">
        <v>0</v>
      </c>
      <c r="E75" s="25">
        <v>0</v>
      </c>
      <c r="F75" s="25">
        <v>50</v>
      </c>
      <c r="G75" s="25"/>
      <c r="H75" s="25"/>
      <c r="I75" s="25"/>
      <c r="J75" s="25"/>
    </row>
    <row r="76" spans="1:10">
      <c r="A76" s="25" t="s">
        <v>694</v>
      </c>
      <c r="B76" s="25" t="s">
        <v>735</v>
      </c>
      <c r="C76" s="25" t="s">
        <v>641</v>
      </c>
      <c r="D76" s="25">
        <v>0</v>
      </c>
      <c r="E76" s="25">
        <v>0</v>
      </c>
      <c r="F76" s="25">
        <v>60</v>
      </c>
      <c r="G76" s="25"/>
      <c r="H76" s="25"/>
      <c r="I76" s="25"/>
      <c r="J76" s="25"/>
    </row>
    <row r="77" spans="1:10">
      <c r="A77" s="50" t="s">
        <v>695</v>
      </c>
      <c r="B77" s="50" t="s">
        <v>735</v>
      </c>
      <c r="C77" s="50" t="s">
        <v>641</v>
      </c>
      <c r="D77" s="50">
        <v>0</v>
      </c>
      <c r="E77" s="50">
        <v>0</v>
      </c>
      <c r="F77" s="50">
        <v>110</v>
      </c>
      <c r="G77" s="50">
        <v>0</v>
      </c>
      <c r="H77" s="50">
        <v>0</v>
      </c>
      <c r="I77" s="50">
        <v>100</v>
      </c>
      <c r="J77" s="50">
        <v>110</v>
      </c>
    </row>
    <row r="78" spans="1:10">
      <c r="A78" s="25" t="s">
        <v>696</v>
      </c>
      <c r="B78" s="25" t="s">
        <v>735</v>
      </c>
      <c r="C78" s="25" t="s">
        <v>641</v>
      </c>
      <c r="D78" s="25">
        <v>0</v>
      </c>
      <c r="E78" s="25">
        <v>1</v>
      </c>
      <c r="F78" s="25">
        <v>52</v>
      </c>
      <c r="G78" s="25"/>
      <c r="H78" s="25"/>
      <c r="I78" s="25"/>
      <c r="J78" s="25"/>
    </row>
    <row r="79" spans="1:10">
      <c r="A79" s="25" t="s">
        <v>697</v>
      </c>
      <c r="B79" s="25" t="s">
        <v>735</v>
      </c>
      <c r="C79" s="25" t="s">
        <v>641</v>
      </c>
      <c r="D79" s="25">
        <v>0</v>
      </c>
      <c r="E79" s="25">
        <v>0</v>
      </c>
      <c r="F79" s="25">
        <v>40</v>
      </c>
      <c r="G79" s="25"/>
      <c r="H79" s="25"/>
      <c r="I79" s="25"/>
      <c r="J79" s="25"/>
    </row>
    <row r="80" spans="1:10">
      <c r="A80" s="50" t="s">
        <v>698</v>
      </c>
      <c r="B80" s="50" t="s">
        <v>735</v>
      </c>
      <c r="C80" s="50" t="s">
        <v>641</v>
      </c>
      <c r="D80" s="50">
        <v>0</v>
      </c>
      <c r="E80" s="50">
        <v>1</v>
      </c>
      <c r="F80" s="50">
        <v>92</v>
      </c>
      <c r="G80" s="50">
        <v>0</v>
      </c>
      <c r="H80" s="50">
        <v>1.0752688172043012</v>
      </c>
      <c r="I80" s="50">
        <v>98.924731182795696</v>
      </c>
      <c r="J80" s="50">
        <v>93</v>
      </c>
    </row>
    <row r="81" spans="1:10">
      <c r="A81" s="25" t="s">
        <v>699</v>
      </c>
      <c r="B81" s="25" t="s">
        <v>735</v>
      </c>
      <c r="C81" s="25" t="s">
        <v>641</v>
      </c>
      <c r="D81" s="25">
        <v>12</v>
      </c>
      <c r="E81" s="25">
        <v>0</v>
      </c>
      <c r="F81" s="25">
        <v>38</v>
      </c>
      <c r="G81" s="25"/>
      <c r="H81" s="25"/>
      <c r="I81" s="25"/>
      <c r="J81" s="25"/>
    </row>
    <row r="82" spans="1:10">
      <c r="A82" s="25" t="s">
        <v>700</v>
      </c>
      <c r="B82" s="25" t="s">
        <v>735</v>
      </c>
      <c r="C82" s="25" t="s">
        <v>641</v>
      </c>
      <c r="D82" s="25">
        <v>0</v>
      </c>
      <c r="E82" s="25">
        <v>0</v>
      </c>
      <c r="F82" s="25">
        <v>44</v>
      </c>
      <c r="G82" s="25"/>
      <c r="H82" s="25"/>
      <c r="I82" s="25"/>
      <c r="J82" s="25"/>
    </row>
    <row r="83" spans="1:10">
      <c r="A83" s="50" t="s">
        <v>701</v>
      </c>
      <c r="B83" s="50" t="s">
        <v>735</v>
      </c>
      <c r="C83" s="50" t="s">
        <v>641</v>
      </c>
      <c r="D83" s="50">
        <v>12</v>
      </c>
      <c r="E83" s="50">
        <v>0</v>
      </c>
      <c r="F83" s="50">
        <v>82</v>
      </c>
      <c r="G83" s="50">
        <v>12.76595744680851</v>
      </c>
      <c r="H83" s="50">
        <v>0</v>
      </c>
      <c r="I83" s="50">
        <v>87.2340425531915</v>
      </c>
      <c r="J83" s="50">
        <v>94</v>
      </c>
    </row>
    <row r="84" spans="1:10">
      <c r="A84" s="16" t="s">
        <v>299</v>
      </c>
      <c r="B84" s="45"/>
      <c r="C84" s="35"/>
      <c r="D84" s="45"/>
      <c r="F84" s="51" t="s">
        <v>22</v>
      </c>
      <c r="G84" s="52">
        <v>1.5118103979180324</v>
      </c>
      <c r="H84" s="52">
        <v>0.21363627159143836</v>
      </c>
      <c r="I84" s="52">
        <v>98.274553330490534</v>
      </c>
      <c r="J84" s="53" t="s">
        <v>492</v>
      </c>
    </row>
    <row r="85" spans="1:10">
      <c r="A85" s="35"/>
      <c r="B85" s="45"/>
      <c r="C85" s="35"/>
      <c r="D85" s="45"/>
      <c r="F85" s="51" t="s">
        <v>570</v>
      </c>
      <c r="G85" s="52">
        <v>4.2294458596741231</v>
      </c>
      <c r="H85" s="52">
        <v>0.42772996010305414</v>
      </c>
      <c r="I85" s="52">
        <v>4.1646687432453096</v>
      </c>
      <c r="J85" s="54">
        <v>962</v>
      </c>
    </row>
    <row r="86" spans="1:10">
      <c r="B86" s="35"/>
      <c r="C86" s="35"/>
      <c r="D86" s="35"/>
    </row>
    <row r="90" spans="1:10">
      <c r="A90" s="36"/>
      <c r="B90" s="40" t="s">
        <v>867</v>
      </c>
      <c r="C90" s="40"/>
      <c r="D90" s="40"/>
    </row>
    <row r="91" spans="1:10">
      <c r="A91" s="36"/>
      <c r="B91" s="21" t="s">
        <v>868</v>
      </c>
      <c r="C91" s="21" t="s">
        <v>869</v>
      </c>
      <c r="D91" s="21" t="s">
        <v>578</v>
      </c>
    </row>
    <row r="92" spans="1:10">
      <c r="A92" s="21" t="s">
        <v>870</v>
      </c>
      <c r="B92" s="15">
        <v>2.6499999999999999E-2</v>
      </c>
      <c r="C92" s="15" t="s">
        <v>725</v>
      </c>
      <c r="D92" s="15">
        <v>2.6499999999999999E-2</v>
      </c>
    </row>
    <row r="93" spans="1:10">
      <c r="A93" s="21" t="s">
        <v>735</v>
      </c>
      <c r="B93" s="15">
        <v>6.8900000000000003E-2</v>
      </c>
      <c r="C93" s="15">
        <v>0.92269999999999996</v>
      </c>
      <c r="D93" s="15">
        <v>0.68359999999999999</v>
      </c>
    </row>
  </sheetData>
  <mergeCells count="1">
    <mergeCell ref="B90:D9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1</vt:lpstr>
      <vt:lpstr>Figure 2</vt:lpstr>
      <vt:lpstr>Figure 3</vt:lpstr>
      <vt:lpstr>Figure 4</vt:lpstr>
      <vt:lpstr>Figure 5</vt:lpstr>
      <vt:lpstr>Figure 6</vt:lpstr>
      <vt:lpstr>Figure S2</vt:lpstr>
      <vt:lpstr>Figure S4A</vt:lpstr>
      <vt:lpstr>Figure S4B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WP</dc:creator>
  <cp:lastModifiedBy>Natalie WP</cp:lastModifiedBy>
  <dcterms:created xsi:type="dcterms:W3CDTF">2019-05-30T22:13:33Z</dcterms:created>
  <dcterms:modified xsi:type="dcterms:W3CDTF">2020-02-26T20:50:50Z</dcterms:modified>
</cp:coreProperties>
</file>